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 tabRatio="594" firstSheet="2" activeTab="9"/>
  </bookViews>
  <sheets>
    <sheet name="НВВ 2021" sheetId="62" r:id="rId1"/>
    <sheet name="2.2" sheetId="6" r:id="rId2"/>
    <sheet name="2.1" sheetId="7" r:id="rId3"/>
    <sheet name="ЗП" sheetId="71" r:id="rId4"/>
    <sheet name="янтарь" sheetId="69" r:id="rId5"/>
    <sheet name="мэс-план" sheetId="36" r:id="rId6"/>
    <sheet name="МЭС- факт" sheetId="66" r:id="rId7"/>
    <sheet name="ДЭК" sheetId="59" r:id="rId8"/>
    <sheet name="ДРСК" sheetId="60" r:id="rId9"/>
    <sheet name="Смета расходов по годам" sheetId="40" r:id="rId10"/>
    <sheet name="план-факт 2019" sheetId="45" r:id="rId11"/>
    <sheet name="Отчет по НВВ " sheetId="46" r:id="rId12"/>
    <sheet name="детализация" sheetId="44" r:id="rId13"/>
    <sheet name="за счет амморт." sheetId="58" r:id="rId14"/>
    <sheet name="кап.вложения" sheetId="70" r:id="rId15"/>
  </sheets>
  <calcPr calcId="152511"/>
</workbook>
</file>

<file path=xl/calcChain.xml><?xml version="1.0" encoding="utf-8"?>
<calcChain xmlns="http://schemas.openxmlformats.org/spreadsheetml/2006/main">
  <c r="D10" i="44" l="1"/>
  <c r="D63" i="62" l="1"/>
  <c r="X45" i="40"/>
  <c r="Y43" i="40"/>
  <c r="F17" i="70" l="1"/>
  <c r="F18" i="70" s="1"/>
  <c r="F14" i="70"/>
  <c r="F8" i="70" l="1"/>
  <c r="D8" i="45" l="1"/>
  <c r="D40" i="62" l="1"/>
  <c r="D17" i="69"/>
  <c r="E16" i="69"/>
  <c r="E15" i="69"/>
  <c r="E14" i="69"/>
  <c r="E13" i="69"/>
  <c r="E12" i="69"/>
  <c r="E11" i="69"/>
  <c r="E10" i="69"/>
  <c r="E9" i="69"/>
  <c r="E8" i="69"/>
  <c r="E7" i="69"/>
  <c r="E6" i="69"/>
  <c r="E5" i="69"/>
  <c r="C40" i="62"/>
  <c r="L23" i="59"/>
  <c r="K23" i="59"/>
  <c r="J23" i="59"/>
  <c r="H20" i="60"/>
  <c r="E17" i="69" l="1"/>
  <c r="L29" i="46"/>
  <c r="L16" i="46"/>
  <c r="L5" i="46"/>
  <c r="X35" i="40"/>
  <c r="F31" i="45"/>
  <c r="D109" i="45"/>
  <c r="F109" i="45"/>
  <c r="D74" i="45"/>
  <c r="F74" i="45"/>
  <c r="F87" i="45"/>
  <c r="D87" i="45"/>
  <c r="L13" i="46" l="1"/>
  <c r="L37" i="46"/>
  <c r="L49" i="46"/>
  <c r="L6" i="46"/>
  <c r="X28" i="40" l="1"/>
  <c r="F108" i="45" l="1"/>
  <c r="F107" i="45"/>
  <c r="F106" i="45"/>
  <c r="F105" i="45"/>
  <c r="F104" i="45"/>
  <c r="F103" i="45"/>
  <c r="F102" i="45"/>
  <c r="F101" i="45"/>
  <c r="F100" i="45"/>
  <c r="F99" i="45"/>
  <c r="F98" i="45"/>
  <c r="F95" i="45"/>
  <c r="F94" i="45"/>
  <c r="F89" i="45"/>
  <c r="F73" i="45"/>
  <c r="F64" i="45"/>
  <c r="F63" i="45"/>
  <c r="F62" i="45"/>
  <c r="F61" i="45"/>
  <c r="F81" i="45"/>
  <c r="F65" i="45"/>
  <c r="E65" i="45"/>
  <c r="D65" i="45"/>
  <c r="F72" i="45"/>
  <c r="F71" i="45"/>
  <c r="F69" i="45"/>
  <c r="F68" i="45"/>
  <c r="F67" i="45"/>
  <c r="F66" i="45"/>
  <c r="F125" i="45" l="1"/>
  <c r="F124" i="45"/>
  <c r="F123" i="45"/>
  <c r="E126" i="45"/>
  <c r="D121" i="45"/>
  <c r="F121" i="45" s="1"/>
  <c r="D126" i="45" l="1"/>
  <c r="B9" i="44" l="1"/>
  <c r="D153" i="45" l="1"/>
  <c r="D104" i="45" l="1"/>
  <c r="D105" i="45"/>
  <c r="D103" i="45"/>
  <c r="D102" i="45"/>
  <c r="D81" i="45" l="1"/>
  <c r="D70" i="45" l="1"/>
  <c r="F70" i="45" s="1"/>
  <c r="D95" i="45"/>
  <c r="D22" i="45"/>
  <c r="F8" i="45"/>
  <c r="F50" i="45"/>
  <c r="F33" i="45"/>
  <c r="F30" i="45"/>
  <c r="F29" i="45"/>
  <c r="F24" i="45"/>
  <c r="F23" i="45"/>
  <c r="F22" i="45"/>
  <c r="F19" i="45"/>
  <c r="F15" i="45"/>
  <c r="F13" i="45"/>
  <c r="F12" i="45"/>
  <c r="D156" i="45"/>
  <c r="D135" i="45"/>
  <c r="X13" i="40"/>
  <c r="V45" i="40"/>
  <c r="V32" i="40"/>
  <c r="W32" i="40"/>
  <c r="W44" i="40"/>
  <c r="V44" i="40"/>
  <c r="V13" i="40" l="1"/>
  <c r="Y46" i="40" l="1"/>
  <c r="Y44" i="40"/>
  <c r="Y34" i="40"/>
  <c r="Y33" i="40"/>
  <c r="Y32" i="40"/>
  <c r="Y31" i="40"/>
  <c r="Y30" i="40"/>
  <c r="W28" i="40"/>
  <c r="W21" i="40" s="1"/>
  <c r="V28" i="40"/>
  <c r="V21" i="40" s="1"/>
  <c r="V35" i="40" s="1"/>
  <c r="Y25" i="40"/>
  <c r="Y24" i="40"/>
  <c r="Y23" i="40"/>
  <c r="X21" i="40"/>
  <c r="Y20" i="40"/>
  <c r="Y18" i="40"/>
  <c r="Y16" i="40"/>
  <c r="Y15" i="40"/>
  <c r="Y14" i="40"/>
  <c r="W13" i="40"/>
  <c r="Y13" i="40" s="1"/>
  <c r="Y11" i="40"/>
  <c r="Y10" i="40"/>
  <c r="Y8" i="40"/>
  <c r="Y7" i="40"/>
  <c r="Y21" i="40" l="1"/>
  <c r="V38" i="40"/>
  <c r="V47" i="40" s="1"/>
  <c r="X38" i="40"/>
  <c r="Y28" i="40"/>
  <c r="W35" i="40"/>
  <c r="W38" i="40" s="1"/>
  <c r="W45" i="40" l="1"/>
  <c r="W47" i="40" s="1"/>
  <c r="Y38" i="40"/>
  <c r="Y35" i="40"/>
  <c r="X47" i="40" l="1"/>
  <c r="Y47" i="40" s="1"/>
  <c r="Y45" i="40"/>
  <c r="C31" i="45" l="1"/>
  <c r="C50" i="45"/>
  <c r="L11" i="46"/>
  <c r="L63" i="46"/>
  <c r="K63" i="46"/>
  <c r="K5" i="46"/>
  <c r="K40" i="46" s="1"/>
  <c r="C18" i="60"/>
  <c r="C20" i="60" s="1"/>
  <c r="B18" i="60"/>
  <c r="H17" i="60"/>
  <c r="F17" i="60"/>
  <c r="I17" i="60" s="1"/>
  <c r="J17" i="60" s="1"/>
  <c r="H16" i="60"/>
  <c r="F16" i="60"/>
  <c r="I16" i="60" s="1"/>
  <c r="J16" i="60" s="1"/>
  <c r="H15" i="60"/>
  <c r="F15" i="60"/>
  <c r="H14" i="60"/>
  <c r="F14" i="60"/>
  <c r="I14" i="60" s="1"/>
  <c r="J14" i="60" s="1"/>
  <c r="H13" i="60"/>
  <c r="F13" i="60"/>
  <c r="I13" i="60" s="1"/>
  <c r="J13" i="60" s="1"/>
  <c r="H12" i="60"/>
  <c r="F12" i="60"/>
  <c r="I12" i="60" s="1"/>
  <c r="J12" i="60" s="1"/>
  <c r="H11" i="60"/>
  <c r="F11" i="60"/>
  <c r="I11" i="60" s="1"/>
  <c r="J11" i="60" s="1"/>
  <c r="H10" i="60"/>
  <c r="F10" i="60"/>
  <c r="I10" i="60" s="1"/>
  <c r="J10" i="60" s="1"/>
  <c r="H9" i="60"/>
  <c r="F9" i="60"/>
  <c r="I9" i="60" s="1"/>
  <c r="J9" i="60" s="1"/>
  <c r="H8" i="60"/>
  <c r="F8" i="60"/>
  <c r="I8" i="60" s="1"/>
  <c r="J8" i="60" s="1"/>
  <c r="H7" i="60"/>
  <c r="F7" i="60"/>
  <c r="I7" i="60" s="1"/>
  <c r="J7" i="60" s="1"/>
  <c r="H6" i="60"/>
  <c r="H18" i="60" s="1"/>
  <c r="F6" i="60"/>
  <c r="F18" i="60" s="1"/>
  <c r="I15" i="60" l="1"/>
  <c r="J15" i="60" s="1"/>
  <c r="L40" i="46"/>
  <c r="L68" i="46" s="1"/>
  <c r="K68" i="46"/>
  <c r="I6" i="60"/>
  <c r="J6" i="60" l="1"/>
  <c r="J18" i="60" s="1"/>
  <c r="J20" i="60" s="1"/>
  <c r="I18" i="60"/>
  <c r="H20" i="59" l="1"/>
  <c r="D20" i="59"/>
  <c r="J20" i="59" s="1"/>
  <c r="H19" i="59"/>
  <c r="D19" i="59"/>
  <c r="J18" i="59"/>
  <c r="H18" i="59"/>
  <c r="D18" i="59"/>
  <c r="H17" i="59"/>
  <c r="D17" i="59"/>
  <c r="H16" i="59"/>
  <c r="D16" i="59"/>
  <c r="H15" i="59"/>
  <c r="D15" i="59"/>
  <c r="J15" i="59" s="1"/>
  <c r="B15" i="59"/>
  <c r="H14" i="59"/>
  <c r="D14" i="59"/>
  <c r="H13" i="59"/>
  <c r="D13" i="59"/>
  <c r="J13" i="59" s="1"/>
  <c r="B13" i="59"/>
  <c r="H12" i="59"/>
  <c r="D12" i="59"/>
  <c r="J12" i="59" s="1"/>
  <c r="H11" i="59"/>
  <c r="D11" i="59"/>
  <c r="B11" i="59"/>
  <c r="H10" i="59"/>
  <c r="D10" i="59"/>
  <c r="J10" i="59" s="1"/>
  <c r="H9" i="59"/>
  <c r="D9" i="59"/>
  <c r="C20" i="66"/>
  <c r="B20" i="66"/>
  <c r="H19" i="66"/>
  <c r="F19" i="66"/>
  <c r="I19" i="66" s="1"/>
  <c r="J19" i="66" s="1"/>
  <c r="H18" i="66"/>
  <c r="F18" i="66"/>
  <c r="I18" i="66" s="1"/>
  <c r="J18" i="66" s="1"/>
  <c r="H17" i="66"/>
  <c r="F17" i="66"/>
  <c r="I17" i="66" s="1"/>
  <c r="J17" i="66" s="1"/>
  <c r="H16" i="66"/>
  <c r="F16" i="66"/>
  <c r="I16" i="66" s="1"/>
  <c r="J16" i="66" s="1"/>
  <c r="H15" i="66"/>
  <c r="F15" i="66"/>
  <c r="I15" i="66" s="1"/>
  <c r="J15" i="66" s="1"/>
  <c r="H14" i="66"/>
  <c r="F14" i="66"/>
  <c r="I14" i="66" s="1"/>
  <c r="J14" i="66" s="1"/>
  <c r="H13" i="66"/>
  <c r="F13" i="66"/>
  <c r="I13" i="66" s="1"/>
  <c r="J13" i="66" s="1"/>
  <c r="H12" i="66"/>
  <c r="F12" i="66"/>
  <c r="I12" i="66" s="1"/>
  <c r="J12" i="66" s="1"/>
  <c r="H11" i="66"/>
  <c r="F11" i="66"/>
  <c r="I11" i="66" s="1"/>
  <c r="J11" i="66" s="1"/>
  <c r="J10" i="66"/>
  <c r="H10" i="66"/>
  <c r="F10" i="66"/>
  <c r="H9" i="66"/>
  <c r="F9" i="66"/>
  <c r="I9" i="66" s="1"/>
  <c r="J9" i="66" s="1"/>
  <c r="H8" i="66"/>
  <c r="H20" i="66" s="1"/>
  <c r="G20" i="66" s="1"/>
  <c r="F8" i="66"/>
  <c r="I8" i="66" s="1"/>
  <c r="J11" i="59" l="1"/>
  <c r="J9" i="59"/>
  <c r="K9" i="59" s="1"/>
  <c r="L9" i="59" s="1"/>
  <c r="J14" i="59"/>
  <c r="J16" i="59"/>
  <c r="J17" i="59"/>
  <c r="K17" i="59" s="1"/>
  <c r="L17" i="59" s="1"/>
  <c r="J19" i="59"/>
  <c r="K19" i="59" s="1"/>
  <c r="L19" i="59" s="1"/>
  <c r="L12" i="59"/>
  <c r="K15" i="59"/>
  <c r="L15" i="59" s="1"/>
  <c r="K10" i="59"/>
  <c r="L10" i="59" s="1"/>
  <c r="K11" i="59"/>
  <c r="L11" i="59" s="1"/>
  <c r="K14" i="59"/>
  <c r="L14" i="59" s="1"/>
  <c r="K16" i="59"/>
  <c r="L16" i="59" s="1"/>
  <c r="K13" i="59"/>
  <c r="L13" i="59" s="1"/>
  <c r="K20" i="59"/>
  <c r="L20" i="59"/>
  <c r="K12" i="59"/>
  <c r="K18" i="59"/>
  <c r="L18" i="59" s="1"/>
  <c r="J8" i="66"/>
  <c r="J20" i="66" s="1"/>
  <c r="I20" i="66"/>
  <c r="F20" i="66"/>
  <c r="J29" i="46" l="1"/>
  <c r="J16" i="46" l="1"/>
  <c r="J5" i="46"/>
  <c r="T21" i="40"/>
  <c r="T35" i="40" s="1"/>
  <c r="E184" i="45"/>
  <c r="E186" i="45" s="1"/>
  <c r="E20" i="45" l="1"/>
  <c r="F17" i="45"/>
  <c r="F27" i="45"/>
  <c r="F14" i="45"/>
  <c r="E60" i="45"/>
  <c r="F60" i="45"/>
  <c r="F119" i="45"/>
  <c r="F6" i="45"/>
  <c r="F5" i="45"/>
  <c r="F11" i="45"/>
  <c r="E11" i="45"/>
  <c r="E109" i="45" l="1"/>
  <c r="E35" i="45"/>
  <c r="E39" i="45" s="1"/>
  <c r="E51" i="45" s="1"/>
  <c r="F126" i="45"/>
  <c r="F20" i="45"/>
  <c r="F35" i="45" s="1"/>
  <c r="C59" i="36"/>
  <c r="D49" i="62"/>
  <c r="F39" i="45" l="1"/>
  <c r="F51" i="45" s="1"/>
  <c r="C63" i="62"/>
  <c r="E32" i="36" l="1"/>
  <c r="G32" i="36" s="1"/>
  <c r="C135" i="45" l="1"/>
  <c r="C147" i="45"/>
  <c r="C167" i="45" l="1"/>
  <c r="S32" i="40"/>
  <c r="J13" i="46"/>
  <c r="J11" i="46" s="1"/>
  <c r="J49" i="46"/>
  <c r="J37" i="46"/>
  <c r="J6" i="46"/>
  <c r="D89" i="45" l="1"/>
  <c r="D60" i="45"/>
  <c r="R28" i="40" l="1"/>
  <c r="R21" i="40"/>
  <c r="R35" i="40" l="1"/>
  <c r="R38" i="40" s="1"/>
  <c r="R45" i="40" s="1"/>
  <c r="R47" i="40" s="1"/>
  <c r="S28" i="40"/>
  <c r="S21" i="40" s="1"/>
  <c r="S13" i="40"/>
  <c r="S35" i="40" l="1"/>
  <c r="S38" i="40" s="1"/>
  <c r="H29" i="46"/>
  <c r="H13" i="46"/>
  <c r="I68" i="46" l="1"/>
  <c r="I5" i="46"/>
  <c r="I40" i="46" s="1"/>
  <c r="J63" i="46"/>
  <c r="I63" i="46"/>
  <c r="S47" i="40"/>
  <c r="U46" i="40"/>
  <c r="Q47" i="40"/>
  <c r="Q46" i="40"/>
  <c r="P35" i="40"/>
  <c r="I47" i="40"/>
  <c r="I46" i="40"/>
  <c r="M47" i="40"/>
  <c r="M46" i="40"/>
  <c r="J35" i="46"/>
  <c r="J30" i="46"/>
  <c r="U44" i="40"/>
  <c r="T38" i="40"/>
  <c r="U35" i="40"/>
  <c r="U34" i="40"/>
  <c r="U33" i="40"/>
  <c r="U32" i="40"/>
  <c r="U31" i="40"/>
  <c r="U30" i="40"/>
  <c r="U28" i="40"/>
  <c r="U25" i="40"/>
  <c r="U24" i="40"/>
  <c r="U23" i="40"/>
  <c r="U21" i="40"/>
  <c r="U20" i="40"/>
  <c r="U18" i="40"/>
  <c r="U16" i="40"/>
  <c r="U15" i="40"/>
  <c r="U14" i="40"/>
  <c r="U13" i="40"/>
  <c r="U11" i="40"/>
  <c r="U10" i="40"/>
  <c r="U8" i="40"/>
  <c r="U7" i="40"/>
  <c r="U38" i="40" l="1"/>
  <c r="T45" i="40"/>
  <c r="J40" i="46"/>
  <c r="J68" i="46" s="1"/>
  <c r="T47" i="40" l="1"/>
  <c r="U45" i="40"/>
  <c r="U47" i="40" l="1"/>
  <c r="G21" i="59" l="1"/>
  <c r="C21" i="59"/>
  <c r="B21" i="59"/>
  <c r="H21" i="59"/>
  <c r="D21" i="59"/>
  <c r="E21" i="59" l="1"/>
  <c r="J21" i="59"/>
  <c r="L21" i="59" l="1"/>
  <c r="K21" i="59"/>
  <c r="H41" i="7" l="1"/>
  <c r="H46" i="7"/>
  <c r="H45" i="7"/>
  <c r="H44" i="7"/>
  <c r="H43" i="7"/>
  <c r="H40" i="7"/>
  <c r="H39" i="7"/>
  <c r="H38" i="7"/>
  <c r="H37" i="7"/>
  <c r="H36" i="7"/>
  <c r="H33" i="7"/>
  <c r="H32" i="7"/>
  <c r="E58" i="36" l="1"/>
  <c r="E57" i="36"/>
  <c r="E56" i="36"/>
  <c r="E55" i="36"/>
  <c r="E54" i="36"/>
  <c r="E53" i="36"/>
  <c r="E52" i="36"/>
  <c r="E51" i="36"/>
  <c r="E50" i="36"/>
  <c r="E49" i="36"/>
  <c r="E48" i="36"/>
  <c r="E47" i="36"/>
  <c r="E59" i="36" l="1"/>
  <c r="G59" i="36" s="1"/>
  <c r="D68" i="62" l="1"/>
  <c r="C68" i="62"/>
  <c r="Q44" i="40"/>
  <c r="Q37" i="40"/>
  <c r="Q36" i="40"/>
  <c r="Q35" i="40"/>
  <c r="Q34" i="40"/>
  <c r="Q33" i="40"/>
  <c r="Q32" i="40"/>
  <c r="Q31" i="40"/>
  <c r="Q30" i="40"/>
  <c r="Q28" i="40"/>
  <c r="Q25" i="40"/>
  <c r="Q24" i="40"/>
  <c r="Q23" i="40"/>
  <c r="Q21" i="40"/>
  <c r="Q20" i="40"/>
  <c r="Q18" i="40"/>
  <c r="Q16" i="40"/>
  <c r="Q15" i="40"/>
  <c r="Q14" i="40"/>
  <c r="Q13" i="40"/>
  <c r="Q10" i="40"/>
  <c r="Q8" i="40"/>
  <c r="Q7" i="40"/>
  <c r="P38" i="40"/>
  <c r="P45" i="40" s="1"/>
  <c r="Q45" i="40" s="1"/>
  <c r="Q38" i="40" l="1"/>
  <c r="F38" i="58"/>
  <c r="F28" i="58"/>
  <c r="F39" i="58" l="1"/>
  <c r="H30" i="46" l="1"/>
  <c r="H35" i="46"/>
  <c r="H16" i="46"/>
  <c r="H11" i="46" s="1"/>
  <c r="H40" i="46" s="1"/>
  <c r="H5" i="46"/>
  <c r="H8" i="46"/>
  <c r="D132" i="45" l="1"/>
  <c r="D147" i="45" l="1"/>
  <c r="D167" i="45" l="1"/>
  <c r="D27" i="45"/>
  <c r="D20" i="45" s="1"/>
  <c r="D11" i="45"/>
  <c r="C27" i="45"/>
  <c r="C20" i="45" s="1"/>
  <c r="C11" i="45"/>
  <c r="H49" i="46"/>
  <c r="H63" i="46" s="1"/>
  <c r="G49" i="46"/>
  <c r="G63" i="46" s="1"/>
  <c r="G68" i="46" s="1"/>
  <c r="G40" i="46"/>
  <c r="C35" i="45" l="1"/>
  <c r="C39" i="45" s="1"/>
  <c r="H68" i="46"/>
  <c r="C9" i="44"/>
  <c r="C10" i="44"/>
  <c r="D35" i="45" l="1"/>
  <c r="D39" i="45" l="1"/>
  <c r="D51" i="45" l="1"/>
  <c r="M44" i="40" l="1"/>
  <c r="L21" i="40"/>
  <c r="L13" i="40"/>
  <c r="F24" i="46"/>
  <c r="F16" i="46"/>
  <c r="F49" i="46"/>
  <c r="E49" i="46"/>
  <c r="F30" i="46"/>
  <c r="L35" i="40" l="1"/>
  <c r="L38" i="40" s="1"/>
  <c r="L45" i="40" s="1"/>
  <c r="M45" i="40" s="1"/>
  <c r="F13" i="46"/>
  <c r="F6" i="46"/>
  <c r="C40" i="46" l="1"/>
  <c r="D11" i="46"/>
  <c r="D8" i="46"/>
  <c r="D5" i="46"/>
  <c r="D40" i="46" l="1"/>
  <c r="D63" i="46" l="1"/>
  <c r="D68" i="46" s="1"/>
  <c r="C63" i="46"/>
  <c r="C68" i="46" s="1"/>
  <c r="E40" i="46"/>
  <c r="M38" i="40"/>
  <c r="M37" i="40"/>
  <c r="M36" i="40"/>
  <c r="M35" i="40"/>
  <c r="M34" i="40"/>
  <c r="M33" i="40"/>
  <c r="M32" i="40"/>
  <c r="M31" i="40"/>
  <c r="M30" i="40"/>
  <c r="M29" i="40"/>
  <c r="M28" i="40"/>
  <c r="M27" i="40"/>
  <c r="M26" i="40"/>
  <c r="M25" i="40"/>
  <c r="M24" i="40"/>
  <c r="M23" i="40"/>
  <c r="M22" i="40"/>
  <c r="M21" i="40"/>
  <c r="M20" i="40"/>
  <c r="M19" i="40"/>
  <c r="M18" i="40"/>
  <c r="M17" i="40"/>
  <c r="M16" i="40"/>
  <c r="M15" i="40"/>
  <c r="M14" i="40"/>
  <c r="M13" i="40"/>
  <c r="M12" i="40"/>
  <c r="M11" i="40"/>
  <c r="M10" i="40"/>
  <c r="M9" i="40"/>
  <c r="M8" i="40"/>
  <c r="M7" i="40" l="1"/>
  <c r="I45" i="40"/>
  <c r="I44" i="40"/>
  <c r="I42" i="40"/>
  <c r="I41" i="40"/>
  <c r="I40" i="40"/>
  <c r="I39" i="40"/>
  <c r="I38" i="40"/>
  <c r="I37" i="40"/>
  <c r="I36" i="40"/>
  <c r="I35" i="40"/>
  <c r="I34" i="40"/>
  <c r="I33" i="40"/>
  <c r="I32" i="40"/>
  <c r="I31" i="40"/>
  <c r="I30" i="40"/>
  <c r="I29" i="40"/>
  <c r="I28" i="40"/>
  <c r="I27" i="40"/>
  <c r="I26" i="40"/>
  <c r="I25" i="40"/>
  <c r="I24" i="40"/>
  <c r="I23" i="40"/>
  <c r="I22" i="40"/>
  <c r="I21" i="40"/>
  <c r="I20" i="40"/>
  <c r="I19" i="40"/>
  <c r="I18" i="40"/>
  <c r="I17" i="40"/>
  <c r="I16" i="40"/>
  <c r="I15" i="40"/>
  <c r="I14" i="40"/>
  <c r="I13" i="40"/>
  <c r="I12" i="40"/>
  <c r="I11" i="40"/>
  <c r="I10" i="40"/>
  <c r="I9" i="40"/>
  <c r="I8" i="40"/>
  <c r="I7" i="40"/>
  <c r="E44" i="40" l="1"/>
  <c r="E42" i="40"/>
  <c r="E41" i="40"/>
  <c r="E40" i="40"/>
  <c r="E39" i="40"/>
  <c r="E38" i="40"/>
  <c r="E37" i="40"/>
  <c r="E36" i="40"/>
  <c r="E35" i="40"/>
  <c r="E34" i="40"/>
  <c r="E33" i="40"/>
  <c r="E32" i="40"/>
  <c r="E31" i="40"/>
  <c r="E30" i="40"/>
  <c r="E29" i="40"/>
  <c r="E28" i="40"/>
  <c r="E27" i="40"/>
  <c r="E26" i="40"/>
  <c r="E25" i="40"/>
  <c r="E24" i="40"/>
  <c r="E23" i="40"/>
  <c r="E22" i="40"/>
  <c r="E20" i="40"/>
  <c r="E19" i="40"/>
  <c r="E18" i="40"/>
  <c r="E17" i="40"/>
  <c r="E16" i="40"/>
  <c r="E15" i="40"/>
  <c r="E14" i="40"/>
  <c r="E12" i="40"/>
  <c r="E11" i="40"/>
  <c r="E10" i="40"/>
  <c r="E9" i="40"/>
  <c r="E8" i="40"/>
  <c r="E7" i="40"/>
  <c r="G52" i="6"/>
  <c r="F11" i="46" l="1"/>
  <c r="F63" i="46"/>
  <c r="E63" i="46" l="1"/>
  <c r="E68" i="46" s="1"/>
  <c r="C126" i="45" l="1"/>
  <c r="C109" i="45"/>
  <c r="C51" i="45" l="1"/>
  <c r="B11" i="44" l="1"/>
  <c r="C11" i="44" s="1"/>
  <c r="D21" i="40" l="1"/>
  <c r="E21" i="40" s="1"/>
  <c r="D45" i="40" l="1"/>
  <c r="E45" i="40" s="1"/>
  <c r="D13" i="40"/>
  <c r="E13" i="40" s="1"/>
  <c r="E10" i="36" l="1"/>
  <c r="E21" i="36"/>
  <c r="E20" i="36"/>
  <c r="E19" i="36"/>
  <c r="E18" i="36"/>
  <c r="E17" i="36"/>
  <c r="E16" i="36"/>
  <c r="E15" i="36"/>
  <c r="E14" i="36"/>
  <c r="E13" i="36"/>
  <c r="E12" i="36"/>
  <c r="E11" i="36"/>
  <c r="E22" i="36" l="1"/>
  <c r="E36" i="36" l="1"/>
  <c r="E63" i="36"/>
  <c r="H31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B9" i="7"/>
  <c r="D9" i="7" s="1"/>
  <c r="E9" i="7" s="1"/>
  <c r="F9" i="7" s="1"/>
  <c r="G9" i="7" s="1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53" i="6" s="1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B8" i="6"/>
  <c r="C8" i="6" s="1"/>
  <c r="D8" i="6" s="1"/>
  <c r="E8" i="6" s="1"/>
  <c r="F8" i="6" s="1"/>
  <c r="G54" i="6" l="1"/>
  <c r="H47" i="7"/>
  <c r="H30" i="7"/>
  <c r="G51" i="6"/>
  <c r="F5" i="46" l="1"/>
  <c r="F40" i="46" l="1"/>
  <c r="F68" i="46" s="1"/>
  <c r="G47" i="36"/>
  <c r="G53" i="36"/>
  <c r="G54" i="36"/>
  <c r="G52" i="36"/>
  <c r="G58" i="36"/>
  <c r="G48" i="36"/>
  <c r="G50" i="36"/>
  <c r="G55" i="36"/>
  <c r="G57" i="36"/>
  <c r="G49" i="36"/>
  <c r="G56" i="36"/>
  <c r="G51" i="36"/>
</calcChain>
</file>

<file path=xl/sharedStrings.xml><?xml version="1.0" encoding="utf-8"?>
<sst xmlns="http://schemas.openxmlformats.org/spreadsheetml/2006/main" count="1107" uniqueCount="627">
  <si>
    <t>Экономист</t>
  </si>
  <si>
    <t>1.</t>
  </si>
  <si>
    <t>2.</t>
  </si>
  <si>
    <t>3.</t>
  </si>
  <si>
    <t>7.</t>
  </si>
  <si>
    <t>Единица измерения</t>
  </si>
  <si>
    <t>км</t>
  </si>
  <si>
    <t>Итого</t>
  </si>
  <si>
    <t>№ п.п.</t>
  </si>
  <si>
    <t>Наименование</t>
  </si>
  <si>
    <t xml:space="preserve">Напряжение, кВ </t>
  </si>
  <si>
    <t>Количество условных единиц (у) на единицу измерения</t>
  </si>
  <si>
    <t>Количество единиц измерения</t>
  </si>
  <si>
    <t>Объем условных единиц</t>
  </si>
  <si>
    <t>у/ед.изм.</t>
  </si>
  <si>
    <t>ед.изм.</t>
  </si>
  <si>
    <t>у</t>
  </si>
  <si>
    <t>L1</t>
  </si>
  <si>
    <t>L2</t>
  </si>
  <si>
    <t>L3</t>
  </si>
  <si>
    <t>7=5*6</t>
  </si>
  <si>
    <t>Подстанция</t>
  </si>
  <si>
    <t>П/ст</t>
  </si>
  <si>
    <t>400-500</t>
  </si>
  <si>
    <t>110-150</t>
  </si>
  <si>
    <t>Силовой трансформатор или реактор (одно- или трехфазный), или вольтодобавочный трансформатор</t>
  </si>
  <si>
    <t>Единица оборудования</t>
  </si>
  <si>
    <t>1-20</t>
  </si>
  <si>
    <t>Воздушный выключатель</t>
  </si>
  <si>
    <t>3 фазы</t>
  </si>
  <si>
    <t>Масляный (вакуумный) выключатель</t>
  </si>
  <si>
    <t xml:space="preserve"> - " -</t>
  </si>
  <si>
    <t>Отделитель с короткозамыкателем</t>
  </si>
  <si>
    <t>Выключатель нагрузки</t>
  </si>
  <si>
    <t>Синхронный компенсатор мощн. до 50 Мвар</t>
  </si>
  <si>
    <t>То же, 50 Мвар и более</t>
  </si>
  <si>
    <t>Статические конденсаторы</t>
  </si>
  <si>
    <t>100 конд.</t>
  </si>
  <si>
    <t>Мачтовая (столбовая) ТП</t>
  </si>
  <si>
    <t>ТП</t>
  </si>
  <si>
    <t>Однотрансфор-маторная ТП, КТП</t>
  </si>
  <si>
    <t>ТП, КТП</t>
  </si>
  <si>
    <t>Двухтрансформаторная ТП, КТП</t>
  </si>
  <si>
    <t xml:space="preserve">Однотрансфор-маторная подстанция 34/0,4 кВ </t>
  </si>
  <si>
    <t>п/ст</t>
  </si>
  <si>
    <t>14.</t>
  </si>
  <si>
    <t>ВН</t>
  </si>
  <si>
    <t>СН1</t>
  </si>
  <si>
    <t>СН2</t>
  </si>
  <si>
    <t>НН</t>
  </si>
  <si>
    <t>ЛЭП</t>
  </si>
  <si>
    <t>Количество цепей на опоре</t>
  </si>
  <si>
    <t>Материал опор</t>
  </si>
  <si>
    <t>Количество условных единиц (у) на 100 км трассы ЛЭП</t>
  </si>
  <si>
    <t>Протяженность</t>
  </si>
  <si>
    <t>у/100км</t>
  </si>
  <si>
    <t>7 = 5 * 6 /100</t>
  </si>
  <si>
    <t>ВЛЭП</t>
  </si>
  <si>
    <t>-</t>
  </si>
  <si>
    <t>металл</t>
  </si>
  <si>
    <t>400_500</t>
  </si>
  <si>
    <t>ж/бетон</t>
  </si>
  <si>
    <t>дерево</t>
  </si>
  <si>
    <t>110_150</t>
  </si>
  <si>
    <t>КЛЭП</t>
  </si>
  <si>
    <t xml:space="preserve">ВН, всего </t>
  </si>
  <si>
    <t xml:space="preserve"> 1 - 20 </t>
  </si>
  <si>
    <t xml:space="preserve">1_20 </t>
  </si>
  <si>
    <t>дерево на ж/б пасынках</t>
  </si>
  <si>
    <t>ж/бетон, металл</t>
  </si>
  <si>
    <t xml:space="preserve"> 20 -35</t>
  </si>
  <si>
    <t>20_35</t>
  </si>
  <si>
    <t xml:space="preserve"> 3 - 10</t>
  </si>
  <si>
    <t xml:space="preserve"> 3_10</t>
  </si>
  <si>
    <t>СН-1, всего</t>
  </si>
  <si>
    <t>СН-2, всего</t>
  </si>
  <si>
    <t xml:space="preserve">0,4 кВ </t>
  </si>
  <si>
    <t>0,4</t>
  </si>
  <si>
    <t xml:space="preserve">до 1 кВ </t>
  </si>
  <si>
    <t xml:space="preserve">_1 </t>
  </si>
  <si>
    <t>НН, всего</t>
  </si>
  <si>
    <t xml:space="preserve">Объем воздушных линий электропередач (ВЛЭП) и кабельных линий электропередач (КЛЭП) в условных единицах в зависимост от протяженности, напряжения, конструктивного использования и материала опор. </t>
  </si>
  <si>
    <t xml:space="preserve">Объем подстанций 35-1150 кВ, трансформаторных подстанций (ТП), комплексных трансформаторных подстанций (КТП) и распределительных пунктов(РП) 0,4-20 кВ в условных единицах. </t>
  </si>
  <si>
    <t>Таблица №2.2</t>
  </si>
  <si>
    <t>таблица 2.1</t>
  </si>
  <si>
    <t>п.п.</t>
  </si>
  <si>
    <t>Показатели</t>
  </si>
  <si>
    <t>Всего</t>
  </si>
  <si>
    <t>4.</t>
  </si>
  <si>
    <t>МУП "Электросеть"</t>
  </si>
  <si>
    <t>Наименование показателя</t>
  </si>
  <si>
    <t>Командировочные расходы</t>
  </si>
  <si>
    <t>5.</t>
  </si>
  <si>
    <t>Услуги связи</t>
  </si>
  <si>
    <t>6.</t>
  </si>
  <si>
    <t>8.</t>
  </si>
  <si>
    <t>9.</t>
  </si>
  <si>
    <t>10.</t>
  </si>
  <si>
    <t>11.</t>
  </si>
  <si>
    <t>№</t>
  </si>
  <si>
    <t>2.1.</t>
  </si>
  <si>
    <t>руб.</t>
  </si>
  <si>
    <t>2.2.</t>
  </si>
  <si>
    <t>2.3.</t>
  </si>
  <si>
    <t>%</t>
  </si>
  <si>
    <t>тыс.руб.</t>
  </si>
  <si>
    <t>Сырье, основные материалы</t>
  </si>
  <si>
    <t>из них на ремонт</t>
  </si>
  <si>
    <t>Топливо на технологические цели</t>
  </si>
  <si>
    <t xml:space="preserve">Энергия </t>
  </si>
  <si>
    <t>5.1.</t>
  </si>
  <si>
    <t>электрическая</t>
  </si>
  <si>
    <t>5.2.</t>
  </si>
  <si>
    <t>тепловая</t>
  </si>
  <si>
    <t>Затраты на оплату труда</t>
  </si>
  <si>
    <t>Отчисления на социальные нужды</t>
  </si>
  <si>
    <t>Амортизация основных средств</t>
  </si>
  <si>
    <t>Прочие затраты всего , в том числе:</t>
  </si>
  <si>
    <t>9.1.</t>
  </si>
  <si>
    <t>9.2.</t>
  </si>
  <si>
    <t>9.3.</t>
  </si>
  <si>
    <t>Плата за предельно допустимые выбросы (сбросы)</t>
  </si>
  <si>
    <t>9.7.</t>
  </si>
  <si>
    <t>Непроизводственные расходы (налоги и другие обязательные платежи и сборы)</t>
  </si>
  <si>
    <t>9.7.1.</t>
  </si>
  <si>
    <t>Налог на землю</t>
  </si>
  <si>
    <t>9.7.2.</t>
  </si>
  <si>
    <t>Налог транспортный</t>
  </si>
  <si>
    <t>9.7.3.</t>
  </si>
  <si>
    <t>налог на имущество</t>
  </si>
  <si>
    <t>9.8.</t>
  </si>
  <si>
    <t xml:space="preserve"> </t>
  </si>
  <si>
    <t>Итого расходов</t>
  </si>
  <si>
    <t>Недополученный по независящим причинам доход</t>
  </si>
  <si>
    <t>12.</t>
  </si>
  <si>
    <t>Избыток средств, полученный в предыдущем периоде регулирования</t>
  </si>
  <si>
    <t>13.</t>
  </si>
  <si>
    <t xml:space="preserve">Расчетные расходы по производству продукции </t>
  </si>
  <si>
    <t>в том числе:</t>
  </si>
  <si>
    <t>13.1.</t>
  </si>
  <si>
    <t xml:space="preserve">   - электрическая энергия</t>
  </si>
  <si>
    <t>13.1.1.</t>
  </si>
  <si>
    <t>производство электроэнергии</t>
  </si>
  <si>
    <t>13.1.2.</t>
  </si>
  <si>
    <t>покупная электроэнергия</t>
  </si>
  <si>
    <t>13.1.3.</t>
  </si>
  <si>
    <t>передача электроэнергии без абонплаты</t>
  </si>
  <si>
    <t>13.2.</t>
  </si>
  <si>
    <t xml:space="preserve">   - тепловая энергия</t>
  </si>
  <si>
    <t>13.2.1.</t>
  </si>
  <si>
    <t>производство теплоэнергии</t>
  </si>
  <si>
    <t>13.2.2.</t>
  </si>
  <si>
    <t>покупная теплоэнергия</t>
  </si>
  <si>
    <t>13.2.3.</t>
  </si>
  <si>
    <t>передача теплоэнергии</t>
  </si>
  <si>
    <t>13.3.</t>
  </si>
  <si>
    <t xml:space="preserve">   - прочая продукция</t>
  </si>
  <si>
    <t>прибыль</t>
  </si>
  <si>
    <t>НВВ</t>
  </si>
  <si>
    <t>№ п/п</t>
  </si>
  <si>
    <t>ПОДКОНТРОЛЬНЫЕ РАСХОДЫ</t>
  </si>
  <si>
    <t>Расходы на оплату труда</t>
  </si>
  <si>
    <t>Прочие расходы, всего в том числе:</t>
  </si>
  <si>
    <t>Другие прочие расходы</t>
  </si>
  <si>
    <t>ИТОГО ПОДКОНТРОЛЬНЫЕ РАСХОДЫ</t>
  </si>
  <si>
    <t>Неподконтрольные расходы</t>
  </si>
  <si>
    <t>Прочие неподконтрольные расходы - всего</t>
  </si>
  <si>
    <t>услуги банка</t>
  </si>
  <si>
    <t>ИТОГО НЕПОДКОНРОЛЬНЫЕ РАСХОДЫ</t>
  </si>
  <si>
    <t xml:space="preserve"> Прибыль на развитие производства</t>
  </si>
  <si>
    <t>в том числе</t>
  </si>
  <si>
    <t xml:space="preserve">капитальные вложения </t>
  </si>
  <si>
    <t xml:space="preserve"> Прибыль на социальное развитие</t>
  </si>
  <si>
    <t>капитальные вложения</t>
  </si>
  <si>
    <t>доставка работников к месту работы</t>
  </si>
  <si>
    <t>оплата за лечение</t>
  </si>
  <si>
    <t>оплата путевок в санатории и лагеря</t>
  </si>
  <si>
    <t>резерв денежных средств на питание при ликвидации аварийных ситуаций</t>
  </si>
  <si>
    <t>оплата новогодних подарков</t>
  </si>
  <si>
    <t>проведение новогоднего утренника</t>
  </si>
  <si>
    <t>спецпитание работникам с вредными условиями труда</t>
  </si>
  <si>
    <t>выплата пособия матерям по уходу за детьми</t>
  </si>
  <si>
    <t>Прибыль на поощрение</t>
  </si>
  <si>
    <t>пособие при выходе на пенсию</t>
  </si>
  <si>
    <t>премирование к праздничным датам</t>
  </si>
  <si>
    <t>проведение  профессиональных праздников и вечеров</t>
  </si>
  <si>
    <t xml:space="preserve">оказание мат.помощи </t>
  </si>
  <si>
    <t>ритуальные услуги</t>
  </si>
  <si>
    <t>Дивиденды по акциям</t>
  </si>
  <si>
    <t>Прибыль на прочие цели</t>
  </si>
  <si>
    <t xml:space="preserve"> % за пользование  кредитом</t>
  </si>
  <si>
    <t>командировочные сверх нормы</t>
  </si>
  <si>
    <t>резервный фонд</t>
  </si>
  <si>
    <t>проездные без документов</t>
  </si>
  <si>
    <t>другие(проездные без документов)</t>
  </si>
  <si>
    <t>Прибыль, облагаемая налогом</t>
  </si>
  <si>
    <t>Налоги,сборы и платежи, всего</t>
  </si>
  <si>
    <t xml:space="preserve"> -на прибыль</t>
  </si>
  <si>
    <t xml:space="preserve">Прибыль (убыток)от товарной продукции, в том числе: </t>
  </si>
  <si>
    <t>Транспортировка</t>
  </si>
  <si>
    <t>приообретение подарков к юбилеям</t>
  </si>
  <si>
    <t>Работы и услуги производственного  характера</t>
  </si>
  <si>
    <t>Необходимая валовая выручка на содержание электрических сетей МУП "Электросеть"</t>
  </si>
  <si>
    <t>оплата проезда к месту отдыха иждевенцы дети</t>
  </si>
  <si>
    <t>Расчетный период</t>
  </si>
  <si>
    <t>Величина заявленной мощности МВ т</t>
  </si>
  <si>
    <t>Стоимость услуги по передаче  руб.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</si>
  <si>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</si>
  <si>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</si>
  <si>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</si>
  <si>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</si>
  <si>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</si>
  <si>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</si>
  <si>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</si>
  <si>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</si>
  <si>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</si>
  <si>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</si>
  <si>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</si>
  <si>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</si>
  <si>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без НДС</t>
  </si>
  <si>
    <t>Норматив потерь э/э в сетях ФСК %</t>
  </si>
  <si>
    <t>Объем потерь э/э в сетях ФСК %</t>
  </si>
  <si>
    <t>Стоимость потерь э/э в рублях</t>
  </si>
  <si>
    <t xml:space="preserve">Плановая стоимость услуг по передаче электрической энергии </t>
  </si>
  <si>
    <t>ИТОГО</t>
  </si>
  <si>
    <t>Экономист МУП "Электросеть"                             Вернигорова А.Г.</t>
  </si>
  <si>
    <t>3</t>
  </si>
  <si>
    <t>А.Г.Вернигорова</t>
  </si>
  <si>
    <t>Вернигорова А.Г.</t>
  </si>
  <si>
    <t>ГСМ</t>
  </si>
  <si>
    <t>Сумма</t>
  </si>
  <si>
    <t>Смета расходов, связанных с передачей электрической энергии по сетям МУП "Электросеть"</t>
  </si>
  <si>
    <t>МУП Электросеть</t>
  </si>
  <si>
    <t>Вспомогательные материалы</t>
  </si>
  <si>
    <t>Средства на  страхование</t>
  </si>
  <si>
    <t>9.4.</t>
  </si>
  <si>
    <t>Оплата за услуги по организации функционирования и развитию ЕЭС России, оперативно-диспетчерскому управлению в электроэнергетике, организации функционирования торговой системы оптового рынка электрической энергии(мощности), передаче электрической энергии апо единой национальной (общероссийской) электрической сети</t>
  </si>
  <si>
    <t>9.5.</t>
  </si>
  <si>
    <t>Отчисления в ремонтный фонд (в случае его формирования)</t>
  </si>
  <si>
    <t>9.6.</t>
  </si>
  <si>
    <t>Водный налог (ГЭС)</t>
  </si>
  <si>
    <t>Другие затраты, относимые на себестоимость продукции,всего</t>
  </si>
  <si>
    <t>в т.ч.</t>
  </si>
  <si>
    <t>9.8.1.</t>
  </si>
  <si>
    <t xml:space="preserve"> 9 мес.2014 год план</t>
  </si>
  <si>
    <t>Комитет по Ценам</t>
  </si>
  <si>
    <t xml:space="preserve"> 9 мес.2014 год факт</t>
  </si>
  <si>
    <t>Транспортный налог</t>
  </si>
  <si>
    <t>Налог на имущество</t>
  </si>
  <si>
    <t>Расходы на оплату услуг связи</t>
  </si>
  <si>
    <t>Расходы на информационные услуги</t>
  </si>
  <si>
    <t>Расходы на вневедомственную охрану</t>
  </si>
  <si>
    <t>Подготовка кадров(семинары, курсы)</t>
  </si>
  <si>
    <t>Вывоз мусора</t>
  </si>
  <si>
    <t>Коммунальное хозяйство( долевое участие в содержании и ремонте общедомового имущества)</t>
  </si>
  <si>
    <t>Проведение медосмотров</t>
  </si>
  <si>
    <t>Расшифровка по материалам и прочим материалам</t>
  </si>
  <si>
    <t>Вспомогательные материалы, в том числе</t>
  </si>
  <si>
    <t>Запасные части для транспортного средства</t>
  </si>
  <si>
    <t>Расходы на приборы учета</t>
  </si>
  <si>
    <t>Расходы на ГСМ</t>
  </si>
  <si>
    <t>Другие затраты :Спецодежда</t>
  </si>
  <si>
    <t>Анализ экономической обоснованности величины расходов из прибыли</t>
  </si>
  <si>
    <t>финансовый результат</t>
  </si>
  <si>
    <t>Аренда спецтехники</t>
  </si>
  <si>
    <t>всего</t>
  </si>
  <si>
    <t>Целевые средства на НИОКР(расчет потерь, энергоаудит, инвестиционная программа)</t>
  </si>
  <si>
    <t xml:space="preserve">2016 год </t>
  </si>
  <si>
    <t>Детализация</t>
  </si>
  <si>
    <t xml:space="preserve"> финансового результата  МУП "Электросеть" </t>
  </si>
  <si>
    <t>В том числе:</t>
  </si>
  <si>
    <t xml:space="preserve">Технические условия </t>
  </si>
  <si>
    <t>Прочие</t>
  </si>
  <si>
    <t>Экономист МУП "Электросеть"                                        Вернигорова А.Г.</t>
  </si>
  <si>
    <t>Расшифровка по другим затратам, относимым на себестоимость продукции (п.9.8.)</t>
  </si>
  <si>
    <t>Средства на  страхование автотехники</t>
  </si>
  <si>
    <t>Обсл.программы "Табличный расчет зарплаты"</t>
  </si>
  <si>
    <t xml:space="preserve">2015 год </t>
  </si>
  <si>
    <t>2.1</t>
  </si>
  <si>
    <t>Материальные затраты</t>
  </si>
  <si>
    <t>2.1.1</t>
  </si>
  <si>
    <t>2.1.1.1</t>
  </si>
  <si>
    <t>2.1.1.2</t>
  </si>
  <si>
    <t>прочие вспомогательные материалы</t>
  </si>
  <si>
    <r>
      <t xml:space="preserve">Работы и услуги производственного характера </t>
    </r>
    <r>
      <rPr>
        <sz val="8"/>
        <color theme="1"/>
        <rFont val="Calibri"/>
        <family val="2"/>
        <charset val="204"/>
        <scheme val="minor"/>
      </rPr>
      <t>(в т.ч. услуги сторонних организаций по содержанию сетей и распределительных устройств)</t>
    </r>
  </si>
  <si>
    <t>2.1.3</t>
  </si>
  <si>
    <t>2.2</t>
  </si>
  <si>
    <t>2.3</t>
  </si>
  <si>
    <t>2.3.1</t>
  </si>
  <si>
    <t xml:space="preserve">Ремонт основных фондов </t>
  </si>
  <si>
    <t>2.3.2</t>
  </si>
  <si>
    <t>Работы и услуги непроизводственного характера</t>
  </si>
  <si>
    <t>2.3.2.1</t>
  </si>
  <si>
    <t>Расходы на охрану и пожарную безопасность</t>
  </si>
  <si>
    <t>Расходы на услуги коммунального хозяйства</t>
  </si>
  <si>
    <t>Расходы на юридические услуги</t>
  </si>
  <si>
    <t>Расходы на консультационные услуги</t>
  </si>
  <si>
    <t>Расходы на аудиторские услуги</t>
  </si>
  <si>
    <t>Расходы на сертификацию</t>
  </si>
  <si>
    <t>Транспортные услуги</t>
  </si>
  <si>
    <t>Расходы на командировки и представительские расходы</t>
  </si>
  <si>
    <t>Расходы на обеспечение нормальных условий труда мер по технике безопасности</t>
  </si>
  <si>
    <t>Расходы на подготовку кадров</t>
  </si>
  <si>
    <t>Расходы на страхование</t>
  </si>
  <si>
    <t>Целевые средства на НИОКР</t>
  </si>
  <si>
    <t>Содержание управляющей</t>
  </si>
  <si>
    <t>2.3.2.2</t>
  </si>
  <si>
    <t>2.3.2.3</t>
  </si>
  <si>
    <t>2.3.2.4</t>
  </si>
  <si>
    <t>2.3.2.5</t>
  </si>
  <si>
    <t>2.3.2.6</t>
  </si>
  <si>
    <t>2.3.2.7</t>
  </si>
  <si>
    <t>2.3.2.8</t>
  </si>
  <si>
    <t>2.3.2.9</t>
  </si>
  <si>
    <t>2.3.2.10</t>
  </si>
  <si>
    <t>2.3.2.11</t>
  </si>
  <si>
    <t>2.3.2.12</t>
  </si>
  <si>
    <t>2.3.2.13</t>
  </si>
  <si>
    <t>2.3.2.14</t>
  </si>
  <si>
    <t>2.3.2.15</t>
  </si>
  <si>
    <t>2.3.2.16</t>
  </si>
  <si>
    <t>Внереализационные расходы</t>
  </si>
  <si>
    <t>Расходы на услуги банков</t>
  </si>
  <si>
    <t>% за пользование кредитом</t>
  </si>
  <si>
    <t>Расходы на формирование резервов по сомнительным долгам</t>
  </si>
  <si>
    <t>Другие внереализационные расходы</t>
  </si>
  <si>
    <t>3.1</t>
  </si>
  <si>
    <t>3.2</t>
  </si>
  <si>
    <t>3.3</t>
  </si>
  <si>
    <t>3.4</t>
  </si>
  <si>
    <t>4</t>
  </si>
  <si>
    <t>Расходы, не учитываемые в целях налогообложения</t>
  </si>
  <si>
    <t>Дивиденды</t>
  </si>
  <si>
    <t>Денежные выплаты социального характера ( по коллективному договору)</t>
  </si>
  <si>
    <t>Резервный фонд</t>
  </si>
  <si>
    <t>Прочие расходы их прибыли</t>
  </si>
  <si>
    <t>4.1</t>
  </si>
  <si>
    <t>4.2</t>
  </si>
  <si>
    <t>4.3</t>
  </si>
  <si>
    <t>4.4</t>
  </si>
  <si>
    <t>5.1</t>
  </si>
  <si>
    <t>Оплата услуг ОАО "ФСК ЕЭС"</t>
  </si>
  <si>
    <t>5.2</t>
  </si>
  <si>
    <t>Энергия на хоз. нужды</t>
  </si>
  <si>
    <t>Теплоэнергия</t>
  </si>
  <si>
    <t>Плата за за аренду имущества и лизинг</t>
  </si>
  <si>
    <t>5.3</t>
  </si>
  <si>
    <t>5.4</t>
  </si>
  <si>
    <t>5.5</t>
  </si>
  <si>
    <t>Налоги ,всего, в т.ч.:</t>
  </si>
  <si>
    <t>Плата за землю</t>
  </si>
  <si>
    <t>Прочие налоги сборы</t>
  </si>
  <si>
    <t>5.5.1</t>
  </si>
  <si>
    <t>5.5.2</t>
  </si>
  <si>
    <t>5.5.3</t>
  </si>
  <si>
    <t>5.5.4</t>
  </si>
  <si>
    <t>5.6</t>
  </si>
  <si>
    <t>Отчисления на социальные нужды (ЕСН)</t>
  </si>
  <si>
    <t>5.7</t>
  </si>
  <si>
    <t>Налог на прибыль</t>
  </si>
  <si>
    <t>Амортизация</t>
  </si>
  <si>
    <t>Амортизация, учитываемая при налогообложении</t>
  </si>
  <si>
    <t>Амортизация, не учитываемая при налогообложении</t>
  </si>
  <si>
    <t>Погашение заемных средств</t>
  </si>
  <si>
    <t>Капитальные вложения</t>
  </si>
  <si>
    <t>5.8</t>
  </si>
  <si>
    <t>5.9</t>
  </si>
  <si>
    <t>5.10</t>
  </si>
  <si>
    <t>5.10.1</t>
  </si>
  <si>
    <t>5.10.2</t>
  </si>
  <si>
    <t>5.11</t>
  </si>
  <si>
    <t>5.12</t>
  </si>
  <si>
    <t>Расходы, связанные с компенсацией незапланированных расходов / полученный избыток</t>
  </si>
  <si>
    <t>6</t>
  </si>
  <si>
    <t>7</t>
  </si>
  <si>
    <t>Необходимая валовая выручка , всего</t>
  </si>
  <si>
    <t>2015 год факт</t>
  </si>
  <si>
    <t>Выпадающие доходы от технологического присоединения</t>
  </si>
  <si>
    <t>Целевые средства на НИОКР(расчет потерь, энергоаудит, разработка инвестиционной программы))</t>
  </si>
  <si>
    <t xml:space="preserve">Программа 1С:Бухгалтерия с ИТС  </t>
  </si>
  <si>
    <t xml:space="preserve">на содержание объектов электросетевого хозяйства, </t>
  </si>
  <si>
    <t>входящих в ЕНЭС</t>
  </si>
  <si>
    <t xml:space="preserve">Плановая стоимость нормативных потерь (технологического расхода электроэнергии   </t>
  </si>
  <si>
    <t>Холодная вода и водоотведение</t>
  </si>
  <si>
    <t>проезд в отпуск иждивенцев</t>
  </si>
  <si>
    <t>Услуги по доставке материалов</t>
  </si>
  <si>
    <t>9.9.</t>
  </si>
  <si>
    <t>предприятия МУП "Электросеть"</t>
  </si>
  <si>
    <t>Факт 2015 года</t>
  </si>
  <si>
    <t>Отклонения</t>
  </si>
  <si>
    <t>2016 год-план</t>
  </si>
  <si>
    <t>2015год- план</t>
  </si>
  <si>
    <t>Факт 2016 года</t>
  </si>
  <si>
    <t>2017 год-план</t>
  </si>
  <si>
    <t>из них на ремонт авт</t>
  </si>
  <si>
    <t>Проживание в гостинице</t>
  </si>
  <si>
    <t>2016 год факт</t>
  </si>
  <si>
    <t>8</t>
  </si>
  <si>
    <t>Факт 2017 года</t>
  </si>
  <si>
    <t xml:space="preserve">2017 год </t>
  </si>
  <si>
    <t>2017 год факт</t>
  </si>
  <si>
    <t>в т.ч. проезд в отпуск</t>
  </si>
  <si>
    <t>Взнос на кап.ремонт в Фонд кап. ремонта</t>
  </si>
  <si>
    <t>Прием в сеть э/э МВт*ч</t>
  </si>
  <si>
    <t>за счет амортизации</t>
  </si>
  <si>
    <t>№ с-ф</t>
  </si>
  <si>
    <t>Дата</t>
  </si>
  <si>
    <t>Материалы</t>
  </si>
  <si>
    <t>Наименование товара</t>
  </si>
  <si>
    <t>Продавец</t>
  </si>
  <si>
    <t>Ремонтные работы</t>
  </si>
  <si>
    <t>Расходы на канцтовары</t>
  </si>
  <si>
    <t>Корректировка НВВ с учетом понижающего(повышающего) коэффициента (КНКi)</t>
  </si>
  <si>
    <t>Денежные выплаты социального характера</t>
  </si>
  <si>
    <t>Тариф норм.</t>
  </si>
  <si>
    <t>Тариф сверхнорм.</t>
  </si>
  <si>
    <t>сумма без НДС</t>
  </si>
  <si>
    <t>ндс</t>
  </si>
  <si>
    <t>Всего, полезный отпуск</t>
  </si>
  <si>
    <t>месяцы</t>
  </si>
  <si>
    <t>тыс квт.ч</t>
  </si>
  <si>
    <t>заявл.мощность</t>
  </si>
  <si>
    <t>ставка на содерж.сетей</t>
  </si>
  <si>
    <t>Доходы на содерж.сетей (НВВ)</t>
  </si>
  <si>
    <t>ставка на оплату потерь</t>
  </si>
  <si>
    <t>Доходы на передачу  (потери)</t>
  </si>
  <si>
    <t xml:space="preserve">Недополученный доход </t>
  </si>
  <si>
    <t>Примечание.При расчете условных единиц протяженности ВЛЭП-0,4кВ от линии до</t>
  </si>
  <si>
    <t>ввода в здание не учитывается</t>
  </si>
  <si>
    <t>Условные единицы по ВЛЭП-0,4 кВ учитываются трудозатраты на обслуживание и ремонт</t>
  </si>
  <si>
    <t>а) воздушных линий в здание</t>
  </si>
  <si>
    <t>б)линий с совместной подвеской проводов.</t>
  </si>
  <si>
    <t xml:space="preserve">Условные единицы по ВЛЭП 0,4*20кВ учитывают трудозатраты оперативного персонала </t>
  </si>
  <si>
    <t>распределительных сетей 0,4-20 кВ.</t>
  </si>
  <si>
    <t>Кабельные вводы учтны в условных единицах КЛЭП напряжением до 1 кВ.</t>
  </si>
  <si>
    <t>исп.инженер Сорокина Т.А.</t>
  </si>
  <si>
    <t>т.8(42137)72574</t>
  </si>
  <si>
    <t>Информация</t>
  </si>
  <si>
    <t>о затратах  МУП "Электросеть"   на покупку потерь,</t>
  </si>
  <si>
    <t>Покупку электрической энергии в целях компенсации потерь МУП "Электросеть"</t>
  </si>
  <si>
    <t xml:space="preserve">осуществляет по договору № 41 ОТ 01.04.2014г. в целях компенсации потерь, </t>
  </si>
  <si>
    <t>заключенному с ОАО "ДЭК"</t>
  </si>
  <si>
    <t>период</t>
  </si>
  <si>
    <t>Объем электроэнергии, приобретенной в целях компенсации потерь в сетях, квт.ч</t>
  </si>
  <si>
    <t>Объем электроэнергии, приобретенной в целях компенсации потерь в сетях, квт.ч   норматив</t>
  </si>
  <si>
    <t>Сумма затрат, без НДС , руб.</t>
  </si>
  <si>
    <t>Объем электроэнергии, приобретенной в целях компенсации потерь в сетях, квт.ч   сверхнорматив</t>
  </si>
  <si>
    <t>Сумма затрат, без НДС , руб.   ВСЕГО</t>
  </si>
  <si>
    <t>Сумма затрат, руб.   ВСЕГО с НДС</t>
  </si>
  <si>
    <t xml:space="preserve"> Фактические доходы, полученные за услуги по передаче эл.энергии МУП "Электросеть"</t>
  </si>
  <si>
    <t>по двухставочному тарифу</t>
  </si>
  <si>
    <t>ВСЕГО</t>
  </si>
  <si>
    <t>ВСЕГО с НДС</t>
  </si>
  <si>
    <t>2018 год-план</t>
  </si>
  <si>
    <t>Факт 2018 года</t>
  </si>
  <si>
    <t xml:space="preserve">2018 год </t>
  </si>
  <si>
    <t>2018 год факт</t>
  </si>
  <si>
    <t>НВВ на содержание электрических сетей</t>
  </si>
  <si>
    <t>Покупка электроэнергии на компенсацию потерь</t>
  </si>
  <si>
    <t>НВВ от регулируемой деятельности</t>
  </si>
  <si>
    <t>Выручка</t>
  </si>
  <si>
    <t>Финансовый результат (убыток)</t>
  </si>
  <si>
    <t>(-3729,77)</t>
  </si>
  <si>
    <t>(-3234,1)</t>
  </si>
  <si>
    <t>(-37774)</t>
  </si>
  <si>
    <t>Плата за аренду имущества и лизинг</t>
  </si>
  <si>
    <t>ООО Софтинфо</t>
  </si>
  <si>
    <t xml:space="preserve"> ПО Почтовый агент</t>
  </si>
  <si>
    <t>РСИЦ</t>
  </si>
  <si>
    <t>Вымпелком</t>
  </si>
  <si>
    <t>Ростелеком</t>
  </si>
  <si>
    <t>ЭР-Телеком Холдинг (Энфорта)</t>
  </si>
  <si>
    <t>МТС</t>
  </si>
  <si>
    <t>Проезд</t>
  </si>
  <si>
    <t xml:space="preserve">Суточные </t>
  </si>
  <si>
    <t>Пестова</t>
  </si>
  <si>
    <t xml:space="preserve">Квадро </t>
  </si>
  <si>
    <t>Чижевский</t>
  </si>
  <si>
    <t>Федоров</t>
  </si>
  <si>
    <t>Булыгин</t>
  </si>
  <si>
    <t>Проезд к месту работы в п. Кенада</t>
  </si>
  <si>
    <t>Домовенок</t>
  </si>
  <si>
    <t>Ибрис</t>
  </si>
  <si>
    <t>Подписка ДВ Энергопотребитель</t>
  </si>
  <si>
    <t>Услуги при оформлениии билетов</t>
  </si>
  <si>
    <t>Управление ЖКХ</t>
  </si>
  <si>
    <t>Прочие расходы из прибыли</t>
  </si>
  <si>
    <t>Обслуживание автомобилей</t>
  </si>
  <si>
    <t>Размещение объявления</t>
  </si>
  <si>
    <t>Услуги нотариуса</t>
  </si>
  <si>
    <t>в т.ч. Плата за аренду имущества и лизинг</t>
  </si>
  <si>
    <t>квт.ч</t>
  </si>
  <si>
    <t>Расходы, связанные с передачей эл.энергии ПАО "ФСК ЕЭС" для МУП "Электросеть"</t>
  </si>
  <si>
    <t>Расходы на содерж.сетей</t>
  </si>
  <si>
    <t>Расходы на передачу</t>
  </si>
  <si>
    <t>факт</t>
  </si>
  <si>
    <t>начислено с НДС</t>
  </si>
  <si>
    <t xml:space="preserve">Эксперты 2020 год </t>
  </si>
  <si>
    <t xml:space="preserve">МУП "Электросеть"2020 год </t>
  </si>
  <si>
    <t>Тариф  на оплату потерь руб/МВт*ч (средний по факту за 2018 год)</t>
  </si>
  <si>
    <t>В том числе прочие</t>
  </si>
  <si>
    <t>=</t>
  </si>
  <si>
    <t>тыс руб.</t>
  </si>
  <si>
    <t>Доставка работников к месту работы</t>
  </si>
  <si>
    <t>Материальная помощь</t>
  </si>
  <si>
    <t>Итого ЗП работников, занятых транспортировкой э/э</t>
  </si>
  <si>
    <t>Всего ЗП работников, занятых транспортировкой э/э</t>
  </si>
  <si>
    <t>Доходы от реализации за 2018 год.</t>
  </si>
  <si>
    <t>ИТОГО НЕПОДКОНТРОЛЬНЫЕ РАСХОДЫ</t>
  </si>
  <si>
    <t>апель</t>
  </si>
  <si>
    <t>месяц</t>
  </si>
  <si>
    <t>тариф</t>
  </si>
  <si>
    <t>гкал</t>
  </si>
  <si>
    <t>итого стоимость</t>
  </si>
  <si>
    <t>за 2019 год по видам деятельности</t>
  </si>
  <si>
    <t>Смета расходов, связанных с передачей электрической энергии по сетям МУП "Электросеть"за 2019 год (общие,прочие,транспорт)</t>
  </si>
  <si>
    <t>техусловия</t>
  </si>
  <si>
    <t>2019 год</t>
  </si>
  <si>
    <t>о стоимости и о размере фактических потерь в 2019 году</t>
  </si>
  <si>
    <t xml:space="preserve"> за 2019 год</t>
  </si>
  <si>
    <t xml:space="preserve"> 2019 год план</t>
  </si>
  <si>
    <t xml:space="preserve"> 2019 год факт общие затраты</t>
  </si>
  <si>
    <t xml:space="preserve"> 2019 год факт транспортировка</t>
  </si>
  <si>
    <t>2019 год факт</t>
  </si>
  <si>
    <t>2019 год-план</t>
  </si>
  <si>
    <t>Факт 2019 года</t>
  </si>
  <si>
    <t>14.1.</t>
  </si>
  <si>
    <t>14.2.</t>
  </si>
  <si>
    <t>Отчет об использовании за 2015-2019 годы</t>
  </si>
  <si>
    <t xml:space="preserve"> 2019 год факт</t>
  </si>
  <si>
    <t>(-12930)</t>
  </si>
  <si>
    <t>Паскаль(Касперский)</t>
  </si>
  <si>
    <t>КРИПТО-ПРО</t>
  </si>
  <si>
    <t>ООО "Тандем-Плюс"</t>
  </si>
  <si>
    <t>ИП Подолинный</t>
  </si>
  <si>
    <t>ООО "УЦ"ЭнергоРешение"</t>
  </si>
  <si>
    <t>ООО "Атри"</t>
  </si>
  <si>
    <t>Услуги Почты  (марки и конверты,расходы)</t>
  </si>
  <si>
    <t>Кадастровые работы по земельному участку Челюскина, 1 (ООО Геосфера)</t>
  </si>
  <si>
    <t>Обслуживание ЭВМ</t>
  </si>
  <si>
    <t>уличное</t>
  </si>
  <si>
    <t>20\5</t>
  </si>
  <si>
    <t>Итого начислено за 2019 год.</t>
  </si>
  <si>
    <t>Проезд в отпуск в 2019 году</t>
  </si>
  <si>
    <t>Сырье, основные материалы, в том числе</t>
  </si>
  <si>
    <t>2021 год.</t>
  </si>
  <si>
    <t>2021 год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</si>
  <si>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на ее транспортировку)</t>
    </r>
    <r>
      <rPr>
        <sz val="11"/>
        <color theme="1"/>
        <rFont val="Calibri"/>
        <family val="2"/>
        <charset val="204"/>
        <scheme val="minor"/>
      </rPr>
      <t xml:space="preserve"> при передаче электрической энергии на 2021 год.</t>
    </r>
  </si>
  <si>
    <t>Всего затрат  по ОАО "ФСК" на  2021 год</t>
  </si>
  <si>
    <t>Корректировка услуги за 2018 год, проведенная в феврале 2019 года.</t>
  </si>
  <si>
    <t>Необходимая валовая выручка на содержание электрических сетей МУП "Электросеть" на 2021 год</t>
  </si>
  <si>
    <t xml:space="preserve">Эксперты 2021 год </t>
  </si>
  <si>
    <t xml:space="preserve">МУП "Электросеть"2021 год </t>
  </si>
  <si>
    <t>Расчет средств, необходимых для оплаты тепловой энергии в 2021 году, согласно договору от 01 декабря 2019г. № 42-884</t>
  </si>
  <si>
    <t>28,01,19</t>
  </si>
  <si>
    <t>04,02,19</t>
  </si>
  <si>
    <t>ООО "ТД "УНКОМТЕХ"</t>
  </si>
  <si>
    <t>Провод</t>
  </si>
  <si>
    <t>Разъединитель</t>
  </si>
  <si>
    <t>08,04,19</t>
  </si>
  <si>
    <t>19,04,19</t>
  </si>
  <si>
    <t>ООО "ИнсталлГрупп"</t>
  </si>
  <si>
    <t>провод</t>
  </si>
  <si>
    <t>03,06,19</t>
  </si>
  <si>
    <t>28,06,19</t>
  </si>
  <si>
    <t>02,07,19</t>
  </si>
  <si>
    <t>ООО ГК "ФОРТ ДВ"</t>
  </si>
  <si>
    <t>Профнастил</t>
  </si>
  <si>
    <t>09,07,19</t>
  </si>
  <si>
    <t>31,07,19</t>
  </si>
  <si>
    <t>ООО "Норма Восток"</t>
  </si>
  <si>
    <t>08,07,19</t>
  </si>
  <si>
    <t>ООО "ТД ЭКСИ"</t>
  </si>
  <si>
    <t>Муфта</t>
  </si>
  <si>
    <t>18,07,19</t>
  </si>
  <si>
    <t>28,08,19</t>
  </si>
  <si>
    <t>19,09,19</t>
  </si>
  <si>
    <t>30,09,19</t>
  </si>
  <si>
    <t>17,10,19</t>
  </si>
  <si>
    <t>Щит</t>
  </si>
  <si>
    <t>ООО "КВАДРО"</t>
  </si>
  <si>
    <t>23,10,19</t>
  </si>
  <si>
    <t>28,11,19</t>
  </si>
  <si>
    <t>03,12,19</t>
  </si>
  <si>
    <t>16,09,19</t>
  </si>
  <si>
    <t>ООО "Норма-Восток"</t>
  </si>
  <si>
    <t xml:space="preserve">Договор № НВ-ЭЛ/12/8/19 </t>
  </si>
  <si>
    <t xml:space="preserve">Договор № НВ-ЭЛ/14-10 </t>
  </si>
  <si>
    <t xml:space="preserve"> 30,10,19</t>
  </si>
  <si>
    <t>20,11,19</t>
  </si>
  <si>
    <t xml:space="preserve">Договор № НВ-ЭЛ/11-11 </t>
  </si>
  <si>
    <t>15,11,19</t>
  </si>
  <si>
    <t xml:space="preserve">Договор № НВ-ЭЛ/08-11 </t>
  </si>
  <si>
    <t>09,12,19</t>
  </si>
  <si>
    <t xml:space="preserve">Договор № НВ-ЭЛ/18-11 </t>
  </si>
  <si>
    <t>Кап ремонт ВЛ-10-0,4 Кв п.Высокогорный</t>
  </si>
  <si>
    <t>Работы и услуги производственного  характера(Услуга+НормаВосток+Мчед.)</t>
  </si>
  <si>
    <t>Капитальные вложения за 2019 год</t>
  </si>
  <si>
    <t>Приобретение основных средств</t>
  </si>
  <si>
    <t>Автомобиль УАЗ 315195</t>
  </si>
  <si>
    <t>ООО "Сапсан"</t>
  </si>
  <si>
    <t>Подстанция КМТП4 ВВ 160 кВа</t>
  </si>
  <si>
    <t>Трансформатор ТМГ-400</t>
  </si>
  <si>
    <t>Установка интеллектуальных приборов учета и маршрутизаторов</t>
  </si>
  <si>
    <t>Локальный сметный расчет № 4</t>
  </si>
  <si>
    <t>Локальный сметный расчет № 5</t>
  </si>
  <si>
    <t>Локальный сметный расчет №6</t>
  </si>
  <si>
    <t>Локальный сметный расчет № 7</t>
  </si>
  <si>
    <t>б/н</t>
  </si>
  <si>
    <t>30,04,19</t>
  </si>
  <si>
    <t>Договор на выполнение работ</t>
  </si>
  <si>
    <t xml:space="preserve">гр. Мчедлидзе </t>
  </si>
  <si>
    <t>ООО "Комп. "ПромЭнергоСнаб"</t>
  </si>
  <si>
    <t>Ставка руб. /МВт мес.*</t>
  </si>
  <si>
    <t>Расчет по  договору №959/п ОАО "ФСК ЕЭС"</t>
  </si>
  <si>
    <t>Товары, материалы, услуги, приобретенные в 2019 году</t>
  </si>
  <si>
    <t>Расчет затрат на оплату труда в  2021 году.</t>
  </si>
  <si>
    <t>Рост минимальной месячной тарифной ставки рабочих</t>
  </si>
  <si>
    <t xml:space="preserve">первого разряда на 01.01.2021  по сравнению с 2020 г. </t>
  </si>
  <si>
    <t>составляет 4,0%.</t>
  </si>
  <si>
    <t xml:space="preserve">Расходы на оплату труда на 2020 год  согласно экспертному заключению </t>
  </si>
  <si>
    <t>составляют 44916,42 рублей</t>
  </si>
  <si>
    <t>Расходы на оплату труда на 2021 год с индексацией МУП "Электросеть"</t>
  </si>
  <si>
    <r>
      <t xml:space="preserve">предлагает принять в размере </t>
    </r>
    <r>
      <rPr>
        <b/>
        <sz val="14"/>
        <color theme="1"/>
        <rFont val="Calibri"/>
        <family val="2"/>
        <charset val="204"/>
        <scheme val="minor"/>
      </rPr>
      <t>46713,08</t>
    </r>
    <r>
      <rPr>
        <sz val="14"/>
        <color theme="1"/>
        <rFont val="Calibri"/>
        <family val="2"/>
        <charset val="204"/>
        <scheme val="minor"/>
      </rPr>
      <t xml:space="preserve"> рублей.</t>
    </r>
  </si>
  <si>
    <t>Капитальные вложения (установка интеллектуальных приборов учета)  по факту 2019 года</t>
  </si>
  <si>
    <t>*Прим.: Тариф на 2021 год = тариф 1 полугодия 2020г. увеличила на 5,5%</t>
  </si>
  <si>
    <t>Тариф  на оплату потерь руб/МВт*ч (средний по факту за 2019 год)*5,5%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</si>
</sst>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0.00000"/>
    <numFmt numFmtId="166" formatCode="0.000"/>
  </numFmts>
  <fonts count="39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Franklin Gothic Medium"/>
      <family val="2"/>
      <charset val="204"/>
    </font>
    <font>
      <b/>
      <sz val="10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color indexed="8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1" fillId="0" borderId="0" applyBorder="0">
      <alignment horizontal="center" vertical="center" wrapText="1"/>
    </xf>
    <xf numFmtId="0" fontId="13" fillId="0" borderId="11" applyBorder="0">
      <alignment horizontal="center" vertical="center" wrapText="1"/>
    </xf>
    <xf numFmtId="4" fontId="14" fillId="3" borderId="2" applyBorder="0">
      <alignment horizontal="right"/>
    </xf>
    <xf numFmtId="4" fontId="14" fillId="4" borderId="0" applyBorder="0">
      <alignment horizontal="right"/>
    </xf>
    <xf numFmtId="4" fontId="14" fillId="5" borderId="12" applyBorder="0">
      <alignment horizontal="right"/>
    </xf>
    <xf numFmtId="0" fontId="2" fillId="0" borderId="0"/>
    <xf numFmtId="49" fontId="14" fillId="0" borderId="0" applyBorder="0">
      <alignment vertical="top"/>
    </xf>
    <xf numFmtId="43" fontId="9" fillId="0" borderId="0" applyFont="0" applyFill="0" applyBorder="0" applyAlignment="0" applyProtection="0"/>
  </cellStyleXfs>
  <cellXfs count="271">
    <xf numFmtId="0" fontId="0" fillId="0" borderId="0" xfId="0"/>
    <xf numFmtId="0" fontId="0" fillId="0" borderId="0" xfId="0" applyBorder="1"/>
    <xf numFmtId="0" fontId="0" fillId="0" borderId="2" xfId="0" applyBorder="1"/>
    <xf numFmtId="0" fontId="0" fillId="2" borderId="0" xfId="0" applyFill="1"/>
    <xf numFmtId="0" fontId="6" fillId="2" borderId="0" xfId="0" applyFont="1" applyFill="1"/>
    <xf numFmtId="0" fontId="8" fillId="0" borderId="0" xfId="0" applyFont="1"/>
    <xf numFmtId="0" fontId="13" fillId="0" borderId="13" xfId="2" applyBorder="1">
      <alignment horizontal="center" vertical="center" wrapText="1"/>
    </xf>
    <xf numFmtId="0" fontId="13" fillId="0" borderId="14" xfId="2" applyBorder="1">
      <alignment horizontal="center" vertical="center" wrapText="1"/>
    </xf>
    <xf numFmtId="0" fontId="13" fillId="0" borderId="2" xfId="2" applyBorder="1">
      <alignment horizontal="center" vertical="center" wrapText="1"/>
    </xf>
    <xf numFmtId="0" fontId="13" fillId="0" borderId="6" xfId="2" applyBorder="1">
      <alignment horizontal="center" vertical="center" wrapText="1"/>
    </xf>
    <xf numFmtId="0" fontId="13" fillId="0" borderId="5" xfId="2" applyBorder="1">
      <alignment horizontal="center" vertical="center" wrapText="1"/>
    </xf>
    <xf numFmtId="0" fontId="13" fillId="0" borderId="2" xfId="2" applyBorder="1" applyAlignment="1">
      <alignment horizontal="center" vertical="center" wrapText="1"/>
    </xf>
    <xf numFmtId="0" fontId="13" fillId="0" borderId="2" xfId="2" applyFont="1" applyBorder="1">
      <alignment horizontal="center" vertical="center" wrapText="1"/>
    </xf>
    <xf numFmtId="0" fontId="13" fillId="0" borderId="6" xfId="2" applyFont="1" applyBorder="1">
      <alignment horizontal="center" vertical="center" wrapText="1"/>
    </xf>
    <xf numFmtId="49" fontId="0" fillId="0" borderId="2" xfId="0" applyNumberFormat="1" applyBorder="1" applyAlignment="1">
      <alignment vertical="top"/>
    </xf>
    <xf numFmtId="4" fontId="14" fillId="3" borderId="2" xfId="3" applyNumberFormat="1" applyBorder="1" applyProtection="1">
      <alignment horizontal="right"/>
    </xf>
    <xf numFmtId="4" fontId="14" fillId="4" borderId="6" xfId="4" applyBorder="1">
      <alignment horizontal="right"/>
    </xf>
    <xf numFmtId="17" fontId="0" fillId="0" borderId="2" xfId="0" quotePrefix="1" applyNumberFormat="1" applyBorder="1" applyAlignment="1">
      <alignment vertical="top"/>
    </xf>
    <xf numFmtId="49" fontId="0" fillId="0" borderId="5" xfId="0" applyNumberFormat="1" applyBorder="1" applyAlignment="1">
      <alignment vertical="top"/>
    </xf>
    <xf numFmtId="49" fontId="0" fillId="0" borderId="2" xfId="0" applyNumberFormat="1" applyBorder="1" applyAlignment="1">
      <alignment vertical="top" wrapText="1"/>
    </xf>
    <xf numFmtId="4" fontId="0" fillId="3" borderId="2" xfId="0" applyNumberFormat="1" applyFill="1" applyBorder="1" applyAlignment="1" applyProtection="1">
      <alignment vertical="top"/>
    </xf>
    <xf numFmtId="4" fontId="13" fillId="4" borderId="6" xfId="4" applyFont="1" applyBorder="1">
      <alignment horizontal="right"/>
    </xf>
    <xf numFmtId="49" fontId="0" fillId="0" borderId="15" xfId="0" applyNumberFormat="1" applyBorder="1" applyAlignment="1">
      <alignment vertical="top"/>
    </xf>
    <xf numFmtId="4" fontId="0" fillId="3" borderId="15" xfId="0" applyNumberFormat="1" applyFill="1" applyBorder="1" applyAlignment="1" applyProtection="1">
      <alignment vertical="top"/>
    </xf>
    <xf numFmtId="4" fontId="13" fillId="4" borderId="16" xfId="5" applyFont="1" applyFill="1" applyBorder="1">
      <alignment horizontal="right"/>
    </xf>
    <xf numFmtId="0" fontId="10" fillId="0" borderId="0" xfId="0" applyFont="1"/>
    <xf numFmtId="0" fontId="3" fillId="2" borderId="2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1" fontId="0" fillId="2" borderId="2" xfId="0" applyNumberFormat="1" applyFill="1" applyBorder="1"/>
    <xf numFmtId="0" fontId="6" fillId="2" borderId="2" xfId="6" applyFont="1" applyFill="1" applyBorder="1" applyAlignment="1">
      <alignment horizontal="center"/>
    </xf>
    <xf numFmtId="0" fontId="5" fillId="2" borderId="2" xfId="6" applyFont="1" applyFill="1" applyBorder="1" applyAlignment="1">
      <alignment horizontal="center"/>
    </xf>
    <xf numFmtId="16" fontId="6" fillId="2" borderId="2" xfId="6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10" fillId="0" borderId="2" xfId="0" applyFont="1" applyBorder="1"/>
    <xf numFmtId="0" fontId="16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/>
    <xf numFmtId="0" fontId="0" fillId="0" borderId="2" xfId="0" applyBorder="1" applyAlignment="1">
      <alignment wrapText="1"/>
    </xf>
    <xf numFmtId="2" fontId="0" fillId="0" borderId="2" xfId="0" applyNumberFormat="1" applyBorder="1"/>
    <xf numFmtId="2" fontId="10" fillId="0" borderId="0" xfId="0" applyNumberFormat="1" applyFont="1"/>
    <xf numFmtId="0" fontId="18" fillId="2" borderId="0" xfId="0" applyFont="1" applyFill="1"/>
    <xf numFmtId="0" fontId="15" fillId="2" borderId="0" xfId="0" applyFont="1" applyFill="1"/>
    <xf numFmtId="0" fontId="21" fillId="0" borderId="13" xfId="2" applyNumberFormat="1" applyFont="1" applyBorder="1">
      <alignment horizontal="center" vertical="center" wrapText="1"/>
    </xf>
    <xf numFmtId="0" fontId="21" fillId="0" borderId="13" xfId="2" applyFont="1" applyBorder="1">
      <alignment horizontal="center" vertical="center" wrapText="1"/>
    </xf>
    <xf numFmtId="0" fontId="21" fillId="0" borderId="14" xfId="2" applyFont="1" applyBorder="1">
      <alignment horizontal="center" vertical="center" wrapText="1"/>
    </xf>
    <xf numFmtId="0" fontId="21" fillId="0" borderId="2" xfId="2" applyNumberFormat="1" applyFont="1" applyBorder="1">
      <alignment horizontal="center" vertical="center" wrapText="1"/>
    </xf>
    <xf numFmtId="0" fontId="21" fillId="0" borderId="2" xfId="2" applyFont="1" applyBorder="1">
      <alignment horizontal="center" vertical="center" wrapText="1"/>
    </xf>
    <xf numFmtId="0" fontId="21" fillId="0" borderId="6" xfId="2" applyFont="1" applyBorder="1">
      <alignment horizontal="center" vertical="center" wrapText="1"/>
    </xf>
    <xf numFmtId="0" fontId="20" fillId="0" borderId="5" xfId="2" applyFont="1" applyBorder="1">
      <alignment horizontal="center" vertical="center" wrapText="1"/>
    </xf>
    <xf numFmtId="0" fontId="21" fillId="0" borderId="5" xfId="2" applyFont="1" applyBorder="1">
      <alignment horizontal="center" vertical="center" wrapText="1"/>
    </xf>
    <xf numFmtId="49" fontId="8" fillId="0" borderId="2" xfId="0" applyNumberFormat="1" applyFont="1" applyBorder="1" applyAlignment="1">
      <alignment vertical="top"/>
    </xf>
    <xf numFmtId="4" fontId="22" fillId="3" borderId="2" xfId="3" applyNumberFormat="1" applyFont="1" applyBorder="1" applyProtection="1">
      <alignment horizontal="right"/>
    </xf>
    <xf numFmtId="4" fontId="22" fillId="4" borderId="6" xfId="4" applyFont="1" applyBorder="1">
      <alignment horizontal="right"/>
    </xf>
    <xf numFmtId="49" fontId="8" fillId="0" borderId="5" xfId="0" applyNumberFormat="1" applyFont="1" applyBorder="1" applyAlignment="1">
      <alignment vertical="top"/>
    </xf>
    <xf numFmtId="4" fontId="8" fillId="3" borderId="2" xfId="0" applyNumberFormat="1" applyFont="1" applyFill="1" applyBorder="1" applyAlignment="1" applyProtection="1">
      <alignment vertical="top"/>
    </xf>
    <xf numFmtId="4" fontId="21" fillId="4" borderId="6" xfId="4" applyFont="1" applyBorder="1">
      <alignment horizontal="right"/>
    </xf>
    <xf numFmtId="4" fontId="22" fillId="3" borderId="2" xfId="3" applyNumberFormat="1" applyFont="1" applyFill="1" applyBorder="1" applyProtection="1">
      <alignment horizontal="right"/>
    </xf>
    <xf numFmtId="4" fontId="22" fillId="6" borderId="2" xfId="3" applyNumberFormat="1" applyFont="1" applyFill="1" applyBorder="1" applyProtection="1">
      <alignment horizontal="right"/>
    </xf>
    <xf numFmtId="49" fontId="8" fillId="0" borderId="9" xfId="0" applyNumberFormat="1" applyFont="1" applyBorder="1" applyAlignment="1">
      <alignment vertical="top"/>
    </xf>
    <xf numFmtId="49" fontId="8" fillId="0" borderId="15" xfId="0" applyNumberFormat="1" applyFont="1" applyBorder="1" applyAlignment="1">
      <alignment vertical="top"/>
    </xf>
    <xf numFmtId="4" fontId="8" fillId="3" borderId="15" xfId="0" applyNumberFormat="1" applyFont="1" applyFill="1" applyBorder="1" applyAlignment="1" applyProtection="1">
      <alignment vertical="top"/>
    </xf>
    <xf numFmtId="4" fontId="21" fillId="4" borderId="16" xfId="4" applyNumberFormat="1" applyFont="1" applyBorder="1">
      <alignment horizontal="right"/>
    </xf>
    <xf numFmtId="0" fontId="17" fillId="0" borderId="0" xfId="0" applyFont="1"/>
    <xf numFmtId="0" fontId="10" fillId="2" borderId="0" xfId="0" applyFont="1" applyFill="1" applyBorder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wrapText="1"/>
    </xf>
    <xf numFmtId="0" fontId="24" fillId="0" borderId="0" xfId="0" applyFont="1"/>
    <xf numFmtId="0" fontId="25" fillId="0" borderId="0" xfId="0" applyFont="1"/>
    <xf numFmtId="0" fontId="6" fillId="2" borderId="2" xfId="0" applyFont="1" applyFill="1" applyBorder="1"/>
    <xf numFmtId="2" fontId="6" fillId="2" borderId="2" xfId="0" applyNumberFormat="1" applyFont="1" applyFill="1" applyBorder="1"/>
    <xf numFmtId="164" fontId="6" fillId="2" borderId="2" xfId="0" applyNumberFormat="1" applyFont="1" applyFill="1" applyBorder="1"/>
    <xf numFmtId="0" fontId="26" fillId="2" borderId="2" xfId="0" applyFont="1" applyFill="1" applyBorder="1"/>
    <xf numFmtId="164" fontId="5" fillId="2" borderId="2" xfId="0" applyNumberFormat="1" applyFont="1" applyFill="1" applyBorder="1"/>
    <xf numFmtId="2" fontId="5" fillId="2" borderId="2" xfId="0" applyNumberFormat="1" applyFont="1" applyFill="1" applyBorder="1"/>
    <xf numFmtId="0" fontId="5" fillId="2" borderId="2" xfId="0" applyFont="1" applyFill="1" applyBorder="1"/>
    <xf numFmtId="0" fontId="27" fillId="2" borderId="0" xfId="0" applyFont="1" applyFill="1"/>
    <xf numFmtId="164" fontId="6" fillId="2" borderId="0" xfId="0" applyNumberFormat="1" applyFont="1" applyFill="1"/>
    <xf numFmtId="0" fontId="5" fillId="2" borderId="8" xfId="0" applyFont="1" applyFill="1" applyBorder="1" applyAlignment="1">
      <alignment horizontal="center" wrapText="1"/>
    </xf>
    <xf numFmtId="0" fontId="6" fillId="2" borderId="0" xfId="6" applyFont="1" applyFill="1"/>
    <xf numFmtId="0" fontId="5" fillId="2" borderId="2" xfId="6" applyFont="1" applyFill="1" applyBorder="1" applyAlignment="1">
      <alignment horizontal="center" vertical="center" wrapText="1"/>
    </xf>
    <xf numFmtId="0" fontId="6" fillId="2" borderId="2" xfId="6" applyFont="1" applyFill="1" applyBorder="1" applyAlignment="1">
      <alignment wrapText="1"/>
    </xf>
    <xf numFmtId="0" fontId="6" fillId="2" borderId="2" xfId="6" applyFont="1" applyFill="1" applyBorder="1" applyAlignment="1">
      <alignment horizontal="left" wrapText="1"/>
    </xf>
    <xf numFmtId="0" fontId="6" fillId="2" borderId="2" xfId="6" applyFont="1" applyFill="1" applyBorder="1" applyAlignment="1">
      <alignment horizontal="left" vertical="center" wrapText="1"/>
    </xf>
    <xf numFmtId="0" fontId="6" fillId="2" borderId="2" xfId="6" applyFont="1" applyFill="1" applyBorder="1" applyAlignment="1">
      <alignment horizontal="center" vertical="top"/>
    </xf>
    <xf numFmtId="0" fontId="6" fillId="2" borderId="2" xfId="6" applyFont="1" applyFill="1" applyBorder="1" applyAlignment="1">
      <alignment vertical="top" wrapText="1"/>
    </xf>
    <xf numFmtId="0" fontId="5" fillId="2" borderId="2" xfId="6" applyFont="1" applyFill="1" applyBorder="1" applyAlignment="1">
      <alignment wrapText="1"/>
    </xf>
    <xf numFmtId="0" fontId="5" fillId="2" borderId="2" xfId="0" applyFont="1" applyFill="1" applyBorder="1" applyAlignment="1">
      <alignment horizontal="left" vertical="top"/>
    </xf>
    <xf numFmtId="0" fontId="6" fillId="2" borderId="3" xfId="0" applyFont="1" applyFill="1" applyBorder="1"/>
    <xf numFmtId="0" fontId="6" fillId="2" borderId="0" xfId="0" applyFont="1" applyFill="1" applyAlignment="1">
      <alignment horizontal="left" vertical="center" wrapText="1"/>
    </xf>
    <xf numFmtId="0" fontId="28" fillId="2" borderId="0" xfId="0" applyFont="1" applyFill="1"/>
    <xf numFmtId="0" fontId="7" fillId="2" borderId="2" xfId="0" applyFont="1" applyFill="1" applyBorder="1"/>
    <xf numFmtId="0" fontId="0" fillId="0" borderId="0" xfId="0" applyAlignment="1"/>
    <xf numFmtId="2" fontId="0" fillId="2" borderId="2" xfId="0" applyNumberFormat="1" applyFill="1" applyBorder="1"/>
    <xf numFmtId="0" fontId="0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2" fontId="0" fillId="2" borderId="0" xfId="0" applyNumberFormat="1" applyFill="1" applyBorder="1"/>
    <xf numFmtId="2" fontId="10" fillId="2" borderId="2" xfId="0" applyNumberFormat="1" applyFont="1" applyFill="1" applyBorder="1"/>
    <xf numFmtId="0" fontId="25" fillId="0" borderId="0" xfId="0" applyFont="1" applyAlignment="1"/>
    <xf numFmtId="49" fontId="0" fillId="2" borderId="2" xfId="0" applyNumberFormat="1" applyFill="1" applyBorder="1" applyAlignment="1">
      <alignment horizontal="right"/>
    </xf>
    <xf numFmtId="49" fontId="0" fillId="2" borderId="2" xfId="0" applyNumberFormat="1" applyFill="1" applyBorder="1"/>
    <xf numFmtId="49" fontId="0" fillId="2" borderId="0" xfId="0" applyNumberFormat="1" applyFill="1" applyBorder="1"/>
    <xf numFmtId="49" fontId="10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/>
    <xf numFmtId="49" fontId="0" fillId="2" borderId="2" xfId="0" applyNumberFormat="1" applyFont="1" applyFill="1" applyBorder="1" applyAlignment="1">
      <alignment horizontal="right"/>
    </xf>
    <xf numFmtId="49" fontId="10" fillId="2" borderId="2" xfId="0" applyNumberFormat="1" applyFont="1" applyFill="1" applyBorder="1" applyAlignment="1">
      <alignment horizontal="center" vertical="top"/>
    </xf>
    <xf numFmtId="49" fontId="10" fillId="2" borderId="2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wrapText="1"/>
    </xf>
    <xf numFmtId="0" fontId="29" fillId="2" borderId="2" xfId="0" applyFont="1" applyFill="1" applyBorder="1" applyAlignment="1">
      <alignment wrapText="1"/>
    </xf>
    <xf numFmtId="0" fontId="24" fillId="2" borderId="2" xfId="0" applyFont="1" applyFill="1" applyBorder="1" applyAlignment="1">
      <alignment wrapText="1"/>
    </xf>
    <xf numFmtId="0" fontId="6" fillId="2" borderId="10" xfId="0" applyFont="1" applyFill="1" applyBorder="1" applyAlignment="1">
      <alignment horizontal="center"/>
    </xf>
    <xf numFmtId="0" fontId="8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/>
    </xf>
    <xf numFmtId="0" fontId="5" fillId="2" borderId="0" xfId="6" applyFont="1" applyFill="1" applyAlignment="1">
      <alignment horizontal="center" vertical="center" wrapText="1"/>
    </xf>
    <xf numFmtId="0" fontId="0" fillId="7" borderId="0" xfId="0" applyFill="1"/>
    <xf numFmtId="0" fontId="10" fillId="7" borderId="0" xfId="0" applyFont="1" applyFill="1"/>
    <xf numFmtId="4" fontId="0" fillId="0" borderId="0" xfId="0" applyNumberFormat="1"/>
    <xf numFmtId="0" fontId="8" fillId="7" borderId="0" xfId="0" applyFont="1" applyFill="1"/>
    <xf numFmtId="0" fontId="17" fillId="7" borderId="0" xfId="0" applyFont="1" applyFill="1"/>
    <xf numFmtId="0" fontId="0" fillId="2" borderId="2" xfId="8" applyNumberFormat="1" applyFont="1" applyFill="1" applyBorder="1" applyAlignment="1">
      <alignment horizontal="right"/>
    </xf>
    <xf numFmtId="0" fontId="6" fillId="2" borderId="4" xfId="0" applyFont="1" applyFill="1" applyBorder="1"/>
    <xf numFmtId="0" fontId="5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5" fillId="2" borderId="0" xfId="0" applyFont="1" applyFill="1" applyBorder="1"/>
    <xf numFmtId="2" fontId="10" fillId="0" borderId="2" xfId="0" applyNumberFormat="1" applyFont="1" applyBorder="1"/>
    <xf numFmtId="2" fontId="0" fillId="0" borderId="0" xfId="0" applyNumberFormat="1" applyBorder="1"/>
    <xf numFmtId="2" fontId="10" fillId="0" borderId="0" xfId="0" applyNumberFormat="1" applyFont="1" applyBorder="1"/>
    <xf numFmtId="0" fontId="0" fillId="0" borderId="2" xfId="0" applyFill="1" applyBorder="1"/>
    <xf numFmtId="2" fontId="0" fillId="0" borderId="2" xfId="0" applyNumberFormat="1" applyFill="1" applyBorder="1"/>
    <xf numFmtId="2" fontId="15" fillId="2" borderId="2" xfId="0" applyNumberFormat="1" applyFont="1" applyFill="1" applyBorder="1"/>
    <xf numFmtId="0" fontId="18" fillId="2" borderId="0" xfId="0" applyFont="1" applyFill="1" applyAlignment="1">
      <alignment horizontal="left" vertical="center" wrapText="1"/>
    </xf>
    <xf numFmtId="165" fontId="0" fillId="0" borderId="2" xfId="0" applyNumberFormat="1" applyBorder="1"/>
    <xf numFmtId="165" fontId="0" fillId="2" borderId="2" xfId="0" applyNumberFormat="1" applyFill="1" applyBorder="1"/>
    <xf numFmtId="166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0" fontId="4" fillId="0" borderId="0" xfId="0" applyFont="1"/>
    <xf numFmtId="4" fontId="21" fillId="4" borderId="6" xfId="4" applyNumberFormat="1" applyFont="1" applyBorder="1">
      <alignment horizontal="right"/>
    </xf>
    <xf numFmtId="0" fontId="9" fillId="0" borderId="0" xfId="0" applyFont="1" applyAlignment="1"/>
    <xf numFmtId="0" fontId="5" fillId="2" borderId="10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0" fontId="18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30" fillId="2" borderId="2" xfId="0" applyFont="1" applyFill="1" applyBorder="1"/>
    <xf numFmtId="164" fontId="30" fillId="2" borderId="2" xfId="0" applyNumberFormat="1" applyFont="1" applyFill="1" applyBorder="1"/>
    <xf numFmtId="0" fontId="30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23" fillId="2" borderId="2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166" fontId="0" fillId="0" borderId="2" xfId="0" applyNumberFormat="1" applyBorder="1"/>
    <xf numFmtId="0" fontId="6" fillId="2" borderId="2" xfId="6" applyFont="1" applyFill="1" applyBorder="1" applyAlignment="1">
      <alignment vertical="center" wrapText="1"/>
    </xf>
    <xf numFmtId="2" fontId="6" fillId="2" borderId="0" xfId="0" applyNumberFormat="1" applyFont="1" applyFill="1"/>
    <xf numFmtId="0" fontId="10" fillId="2" borderId="2" xfId="0" applyFont="1" applyFill="1" applyBorder="1" applyAlignment="1">
      <alignment wrapText="1"/>
    </xf>
    <xf numFmtId="0" fontId="3" fillId="2" borderId="17" xfId="0" applyFont="1" applyFill="1" applyBorder="1" applyAlignment="1">
      <alignment horizontal="center" vertical="center" wrapText="1"/>
    </xf>
    <xf numFmtId="2" fontId="18" fillId="2" borderId="0" xfId="0" applyNumberFormat="1" applyFont="1" applyFill="1"/>
    <xf numFmtId="2" fontId="15" fillId="2" borderId="0" xfId="0" applyNumberFormat="1" applyFont="1" applyFill="1"/>
    <xf numFmtId="0" fontId="32" fillId="2" borderId="0" xfId="0" applyFont="1" applyFill="1"/>
    <xf numFmtId="0" fontId="6" fillId="2" borderId="0" xfId="0" applyFont="1" applyFill="1" applyAlignment="1">
      <alignment horizontal="right"/>
    </xf>
    <xf numFmtId="0" fontId="0" fillId="0" borderId="2" xfId="0" applyNumberFormat="1" applyBorder="1"/>
    <xf numFmtId="0" fontId="0" fillId="0" borderId="2" xfId="0" applyNumberFormat="1" applyFill="1" applyBorder="1"/>
    <xf numFmtId="0" fontId="0" fillId="2" borderId="10" xfId="0" applyFill="1" applyBorder="1" applyAlignment="1">
      <alignment horizontal="right" vertical="center"/>
    </xf>
    <xf numFmtId="2" fontId="0" fillId="0" borderId="0" xfId="0" applyNumberFormat="1"/>
    <xf numFmtId="0" fontId="10" fillId="0" borderId="0" xfId="0" applyFont="1" applyBorder="1"/>
    <xf numFmtId="0" fontId="5" fillId="2" borderId="2" xfId="0" applyFont="1" applyFill="1" applyBorder="1" applyAlignment="1">
      <alignment horizontal="center" vertical="center" wrapText="1"/>
    </xf>
    <xf numFmtId="16" fontId="6" fillId="2" borderId="10" xfId="6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9" borderId="2" xfId="6" applyFont="1" applyFill="1" applyBorder="1" applyAlignment="1">
      <alignment wrapText="1"/>
    </xf>
    <xf numFmtId="164" fontId="5" fillId="9" borderId="2" xfId="0" applyNumberFormat="1" applyFont="1" applyFill="1" applyBorder="1"/>
    <xf numFmtId="2" fontId="5" fillId="9" borderId="2" xfId="0" applyNumberFormat="1" applyFont="1" applyFill="1" applyBorder="1"/>
    <xf numFmtId="0" fontId="5" fillId="9" borderId="2" xfId="0" applyFont="1" applyFill="1" applyBorder="1"/>
    <xf numFmtId="0" fontId="6" fillId="2" borderId="2" xfId="0" applyFont="1" applyFill="1" applyBorder="1" applyAlignment="1"/>
    <xf numFmtId="0" fontId="15" fillId="2" borderId="0" xfId="0" applyFont="1" applyFill="1" applyAlignment="1"/>
    <xf numFmtId="0" fontId="10" fillId="2" borderId="2" xfId="0" applyFont="1" applyFill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10" borderId="2" xfId="0" applyFill="1" applyBorder="1"/>
    <xf numFmtId="0" fontId="0" fillId="10" borderId="2" xfId="0" applyFill="1" applyBorder="1" applyAlignment="1">
      <alignment wrapText="1"/>
    </xf>
    <xf numFmtId="0" fontId="10" fillId="10" borderId="2" xfId="0" applyFont="1" applyFill="1" applyBorder="1"/>
    <xf numFmtId="2" fontId="0" fillId="0" borderId="2" xfId="0" applyNumberFormat="1" applyFont="1" applyBorder="1"/>
    <xf numFmtId="0" fontId="34" fillId="0" borderId="0" xfId="0" applyFont="1" applyAlignment="1"/>
    <xf numFmtId="0" fontId="5" fillId="8" borderId="2" xfId="0" applyFont="1" applyFill="1" applyBorder="1"/>
    <xf numFmtId="0" fontId="0" fillId="0" borderId="0" xfId="0" applyBorder="1" applyAlignment="1">
      <alignment horizontal="center" wrapText="1"/>
    </xf>
    <xf numFmtId="166" fontId="0" fillId="2" borderId="2" xfId="0" applyNumberFormat="1" applyFill="1" applyBorder="1"/>
    <xf numFmtId="0" fontId="33" fillId="0" borderId="0" xfId="0" applyFont="1"/>
    <xf numFmtId="0" fontId="33" fillId="0" borderId="2" xfId="0" applyFont="1" applyBorder="1"/>
    <xf numFmtId="0" fontId="33" fillId="0" borderId="0" xfId="0" applyFont="1" applyAlignment="1">
      <alignment wrapText="1"/>
    </xf>
    <xf numFmtId="0" fontId="35" fillId="0" borderId="2" xfId="0" applyFont="1" applyBorder="1"/>
    <xf numFmtId="0" fontId="33" fillId="0" borderId="2" xfId="0" applyFont="1" applyBorder="1" applyAlignment="1">
      <alignment wrapText="1"/>
    </xf>
    <xf numFmtId="2" fontId="33" fillId="0" borderId="2" xfId="0" applyNumberFormat="1" applyFont="1" applyBorder="1"/>
    <xf numFmtId="2" fontId="35" fillId="0" borderId="2" xfId="0" applyNumberFormat="1" applyFont="1" applyBorder="1"/>
    <xf numFmtId="49" fontId="0" fillId="2" borderId="10" xfId="0" applyNumberFormat="1" applyFill="1" applyBorder="1" applyAlignment="1">
      <alignment horizontal="left"/>
    </xf>
    <xf numFmtId="0" fontId="0" fillId="0" borderId="7" xfId="0" applyBorder="1" applyAlignment="1"/>
    <xf numFmtId="0" fontId="0" fillId="0" borderId="18" xfId="0" applyBorder="1" applyAlignment="1"/>
    <xf numFmtId="0" fontId="0" fillId="0" borderId="8" xfId="0" applyBorder="1" applyAlignment="1"/>
    <xf numFmtId="0" fontId="0" fillId="0" borderId="2" xfId="0" applyBorder="1" applyAlignment="1"/>
    <xf numFmtId="0" fontId="29" fillId="0" borderId="2" xfId="0" applyFont="1" applyBorder="1"/>
    <xf numFmtId="0" fontId="37" fillId="0" borderId="0" xfId="0" applyFont="1"/>
    <xf numFmtId="0" fontId="38" fillId="0" borderId="0" xfId="0" applyFont="1"/>
    <xf numFmtId="49" fontId="10" fillId="2" borderId="2" xfId="0" applyNumberFormat="1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49" fontId="0" fillId="0" borderId="5" xfId="0" applyNumberFormat="1" applyBorder="1" applyAlignment="1">
      <alignment horizontal="left" vertical="top"/>
    </xf>
    <xf numFmtId="49" fontId="0" fillId="0" borderId="2" xfId="0" applyNumberFormat="1" applyBorder="1" applyAlignment="1">
      <alignment horizontal="left" vertical="top" wrapText="1"/>
    </xf>
    <xf numFmtId="49" fontId="0" fillId="0" borderId="2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vertical="top"/>
    </xf>
    <xf numFmtId="49" fontId="0" fillId="0" borderId="9" xfId="0" applyNumberFormat="1" applyBorder="1" applyAlignment="1">
      <alignment vertical="top"/>
    </xf>
    <xf numFmtId="49" fontId="13" fillId="0" borderId="2" xfId="0" applyNumberFormat="1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top"/>
    </xf>
    <xf numFmtId="49" fontId="0" fillId="0" borderId="15" xfId="0" applyNumberFormat="1" applyBorder="1" applyAlignment="1">
      <alignment horizontal="center" vertical="top"/>
    </xf>
    <xf numFmtId="49" fontId="0" fillId="0" borderId="2" xfId="0" applyNumberFormat="1" applyBorder="1" applyAlignment="1">
      <alignment vertical="top" wrapText="1"/>
    </xf>
    <xf numFmtId="0" fontId="12" fillId="7" borderId="0" xfId="1" applyFont="1" applyFill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3" fillId="0" borderId="12" xfId="2" applyBorder="1">
      <alignment horizontal="center" vertical="center" wrapText="1"/>
    </xf>
    <xf numFmtId="0" fontId="13" fillId="0" borderId="5" xfId="2" applyBorder="1">
      <alignment horizontal="center" vertical="center" wrapText="1"/>
    </xf>
    <xf numFmtId="0" fontId="13" fillId="0" borderId="13" xfId="2" applyBorder="1" applyAlignment="1">
      <alignment horizontal="center" vertical="center" wrapText="1"/>
    </xf>
    <xf numFmtId="0" fontId="13" fillId="0" borderId="2" xfId="2" applyBorder="1" applyAlignment="1">
      <alignment horizontal="center" vertical="center" wrapText="1"/>
    </xf>
    <xf numFmtId="0" fontId="13" fillId="0" borderId="13" xfId="2" applyBorder="1">
      <alignment horizontal="center" vertical="center" wrapText="1"/>
    </xf>
    <xf numFmtId="0" fontId="13" fillId="0" borderId="2" xfId="2" applyBorder="1">
      <alignment horizontal="center" vertical="center" wrapText="1"/>
    </xf>
    <xf numFmtId="49" fontId="8" fillId="0" borderId="5" xfId="0" applyNumberFormat="1" applyFont="1" applyBorder="1" applyAlignment="1">
      <alignment vertical="top"/>
    </xf>
    <xf numFmtId="49" fontId="8" fillId="0" borderId="2" xfId="0" applyNumberFormat="1" applyFont="1" applyBorder="1" applyAlignment="1">
      <alignment vertical="top"/>
    </xf>
    <xf numFmtId="0" fontId="20" fillId="0" borderId="12" xfId="2" applyFont="1" applyBorder="1">
      <alignment horizontal="center" vertical="center" wrapText="1"/>
    </xf>
    <xf numFmtId="0" fontId="20" fillId="0" borderId="5" xfId="2" applyFont="1" applyBorder="1">
      <alignment horizontal="center" vertical="center" wrapText="1"/>
    </xf>
    <xf numFmtId="0" fontId="21" fillId="0" borderId="13" xfId="2" applyFont="1" applyBorder="1">
      <alignment horizontal="center" vertical="center" wrapText="1"/>
    </xf>
    <xf numFmtId="0" fontId="21" fillId="0" borderId="2" xfId="2" applyFont="1" applyBorder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2" xfId="0" applyBorder="1" applyAlignment="1">
      <alignment wrapText="1"/>
    </xf>
    <xf numFmtId="0" fontId="5" fillId="2" borderId="0" xfId="6" applyFont="1" applyFill="1" applyAlignment="1">
      <alignment horizontal="center" vertical="center" wrapText="1"/>
    </xf>
    <xf numFmtId="0" fontId="6" fillId="2" borderId="10" xfId="6" applyFont="1" applyFill="1" applyBorder="1" applyAlignment="1">
      <alignment horizontal="center" vertical="center" wrapText="1"/>
    </xf>
    <xf numFmtId="0" fontId="6" fillId="2" borderId="3" xfId="6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15" fillId="2" borderId="0" xfId="0" applyFont="1" applyFill="1" applyAlignment="1">
      <alignment horizontal="center"/>
    </xf>
    <xf numFmtId="0" fontId="5" fillId="2" borderId="17" xfId="6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wrapText="1"/>
    </xf>
    <xf numFmtId="0" fontId="10" fillId="2" borderId="17" xfId="0" applyFont="1" applyFill="1" applyBorder="1" applyAlignment="1">
      <alignment wrapText="1"/>
    </xf>
    <xf numFmtId="0" fontId="3" fillId="2" borderId="1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33" fillId="0" borderId="7" xfId="0" applyFont="1" applyBorder="1" applyAlignment="1">
      <alignment horizontal="left"/>
    </xf>
    <xf numFmtId="0" fontId="33" fillId="0" borderId="18" xfId="0" applyFont="1" applyBorder="1" applyAlignment="1">
      <alignment horizontal="left"/>
    </xf>
    <xf numFmtId="0" fontId="33" fillId="0" borderId="8" xfId="0" applyFont="1" applyBorder="1" applyAlignment="1">
      <alignment horizontal="left"/>
    </xf>
    <xf numFmtId="0" fontId="36" fillId="0" borderId="17" xfId="0" applyFont="1" applyBorder="1" applyAlignment="1">
      <alignment horizontal="center" wrapText="1"/>
    </xf>
    <xf numFmtId="0" fontId="31" fillId="0" borderId="2" xfId="0" applyFont="1" applyBorder="1" applyAlignment="1">
      <alignment horizontal="center" wrapText="1"/>
    </xf>
  </cellXfs>
  <cellStyles count="9">
    <cellStyle name="Заголовок" xfId="1"/>
    <cellStyle name="ЗаголовокСтолбца" xfId="2"/>
    <cellStyle name="Значение" xfId="3"/>
    <cellStyle name="Обычный" xfId="0" builtinId="0"/>
    <cellStyle name="Обычный 10" xfId="7"/>
    <cellStyle name="Обычный_тарифы на 2002г с 1-01" xfId="6"/>
    <cellStyle name="Финансовый" xfId="8" builtinId="3"/>
    <cellStyle name="Формула" xfId="4"/>
    <cellStyle name="ФормулаВБ" xfId="5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76"/>
  <sheetViews>
    <sheetView topLeftCell="A10" workbookViewId="0">
      <selection activeCell="D46" sqref="D46"/>
    </sheetView>
  </sheetViews>
  <sheetFormatPr defaultColWidth="8.77734375" defaultRowHeight="14.4" x14ac:dyDescent="0.3"/>
  <cols>
    <col min="1" max="1" width="6.88671875" style="3" customWidth="1"/>
    <col min="2" max="2" width="48.44140625" style="3" customWidth="1"/>
    <col min="3" max="3" width="12.33203125" style="3" customWidth="1"/>
    <col min="4" max="4" width="13.109375" style="3" customWidth="1"/>
    <col min="5" max="5" width="8.77734375" style="3"/>
    <col min="6" max="6" width="46" style="3" customWidth="1"/>
    <col min="7" max="7" width="7.33203125" style="3" customWidth="1"/>
    <col min="8" max="16384" width="8.77734375" style="3"/>
  </cols>
  <sheetData>
    <row r="1" spans="1:4" ht="39.6" customHeight="1" x14ac:dyDescent="0.3">
      <c r="A1" s="204" t="s">
        <v>550</v>
      </c>
      <c r="B1" s="204"/>
      <c r="C1" s="204"/>
      <c r="D1" s="204"/>
    </row>
    <row r="2" spans="1:4" x14ac:dyDescent="0.3">
      <c r="B2" s="158"/>
      <c r="D2" s="3" t="s">
        <v>105</v>
      </c>
    </row>
    <row r="3" spans="1:4" ht="43.2" x14ac:dyDescent="0.3">
      <c r="A3" s="27" t="s">
        <v>159</v>
      </c>
      <c r="B3" s="27" t="s">
        <v>86</v>
      </c>
      <c r="C3" s="28" t="s">
        <v>551</v>
      </c>
      <c r="D3" s="28" t="s">
        <v>552</v>
      </c>
    </row>
    <row r="4" spans="1:4" x14ac:dyDescent="0.3">
      <c r="A4" s="27">
        <v>1</v>
      </c>
      <c r="B4" s="26" t="s">
        <v>160</v>
      </c>
      <c r="C4" s="27"/>
      <c r="D4" s="27"/>
    </row>
    <row r="5" spans="1:4" x14ac:dyDescent="0.3">
      <c r="A5" s="106" t="s">
        <v>278</v>
      </c>
      <c r="B5" s="40" t="s">
        <v>279</v>
      </c>
      <c r="C5" s="40">
        <v>4381.16</v>
      </c>
      <c r="D5" s="40">
        <v>4381.16</v>
      </c>
    </row>
    <row r="6" spans="1:4" x14ac:dyDescent="0.3">
      <c r="A6" s="102" t="s">
        <v>280</v>
      </c>
      <c r="B6" s="28" t="s">
        <v>233</v>
      </c>
      <c r="C6" s="96">
        <v>3888.47</v>
      </c>
      <c r="D6" s="96">
        <v>3888.47</v>
      </c>
    </row>
    <row r="7" spans="1:4" x14ac:dyDescent="0.3">
      <c r="A7" s="102" t="s">
        <v>281</v>
      </c>
      <c r="B7" s="28" t="s">
        <v>229</v>
      </c>
      <c r="C7" s="27">
        <v>2153.2600000000002</v>
      </c>
      <c r="D7" s="27">
        <v>2153.2600000000002</v>
      </c>
    </row>
    <row r="8" spans="1:4" x14ac:dyDescent="0.3">
      <c r="A8" s="102" t="s">
        <v>282</v>
      </c>
      <c r="B8" s="28" t="s">
        <v>283</v>
      </c>
      <c r="C8" s="27">
        <v>1735.21</v>
      </c>
      <c r="D8" s="27">
        <v>1735.21</v>
      </c>
    </row>
    <row r="9" spans="1:4" ht="36" x14ac:dyDescent="0.3">
      <c r="A9" s="102" t="s">
        <v>285</v>
      </c>
      <c r="B9" s="28" t="s">
        <v>284</v>
      </c>
      <c r="C9" s="27">
        <v>492.69</v>
      </c>
      <c r="D9" s="27">
        <v>492.69</v>
      </c>
    </row>
    <row r="10" spans="1:4" x14ac:dyDescent="0.3">
      <c r="A10" s="105" t="s">
        <v>286</v>
      </c>
      <c r="B10" s="40" t="s">
        <v>161</v>
      </c>
      <c r="C10" s="100">
        <v>43117.13</v>
      </c>
      <c r="D10" s="100">
        <v>46713.08</v>
      </c>
    </row>
    <row r="11" spans="1:4" x14ac:dyDescent="0.3">
      <c r="A11" s="105" t="s">
        <v>287</v>
      </c>
      <c r="B11" s="40" t="s">
        <v>162</v>
      </c>
      <c r="C11" s="100">
        <v>6121.29</v>
      </c>
      <c r="D11" s="100">
        <v>6121.29</v>
      </c>
    </row>
    <row r="12" spans="1:4" x14ac:dyDescent="0.3">
      <c r="A12" s="107" t="s">
        <v>288</v>
      </c>
      <c r="B12" s="28" t="s">
        <v>289</v>
      </c>
      <c r="C12" s="96">
        <v>3268.57</v>
      </c>
      <c r="D12" s="96">
        <v>3268.57</v>
      </c>
    </row>
    <row r="13" spans="1:4" x14ac:dyDescent="0.3">
      <c r="A13" s="107" t="s">
        <v>290</v>
      </c>
      <c r="B13" s="28" t="s">
        <v>291</v>
      </c>
      <c r="C13" s="96">
        <v>2852.73</v>
      </c>
      <c r="D13" s="96">
        <v>2852.73</v>
      </c>
    </row>
    <row r="14" spans="1:4" x14ac:dyDescent="0.3">
      <c r="A14" s="102" t="s">
        <v>292</v>
      </c>
      <c r="B14" s="27" t="s">
        <v>93</v>
      </c>
      <c r="C14" s="96">
        <v>362.72</v>
      </c>
      <c r="D14" s="96">
        <v>362.72</v>
      </c>
    </row>
    <row r="15" spans="1:4" x14ac:dyDescent="0.3">
      <c r="A15" s="103" t="s">
        <v>306</v>
      </c>
      <c r="B15" s="28" t="s">
        <v>293</v>
      </c>
      <c r="C15" s="96">
        <v>194.24</v>
      </c>
      <c r="D15" s="96">
        <v>194.24</v>
      </c>
    </row>
    <row r="16" spans="1:4" x14ac:dyDescent="0.3">
      <c r="A16" s="103" t="s">
        <v>307</v>
      </c>
      <c r="B16" s="28" t="s">
        <v>294</v>
      </c>
      <c r="C16" s="27">
        <v>57.52</v>
      </c>
      <c r="D16" s="27">
        <v>57.52</v>
      </c>
    </row>
    <row r="17" spans="1:4" x14ac:dyDescent="0.3">
      <c r="A17" s="103" t="s">
        <v>308</v>
      </c>
      <c r="B17" s="28" t="s">
        <v>295</v>
      </c>
      <c r="C17" s="96"/>
      <c r="D17" s="96"/>
    </row>
    <row r="18" spans="1:4" x14ac:dyDescent="0.3">
      <c r="A18" s="103" t="s">
        <v>309</v>
      </c>
      <c r="B18" s="28" t="s">
        <v>250</v>
      </c>
      <c r="C18" s="27">
        <v>432.45</v>
      </c>
      <c r="D18" s="27">
        <v>432.45</v>
      </c>
    </row>
    <row r="19" spans="1:4" x14ac:dyDescent="0.3">
      <c r="A19" s="103" t="s">
        <v>310</v>
      </c>
      <c r="B19" s="28" t="s">
        <v>296</v>
      </c>
      <c r="C19" s="27">
        <v>0</v>
      </c>
      <c r="D19" s="27">
        <v>0</v>
      </c>
    </row>
    <row r="20" spans="1:4" x14ac:dyDescent="0.3">
      <c r="A20" s="103" t="s">
        <v>311</v>
      </c>
      <c r="B20" s="28" t="s">
        <v>297</v>
      </c>
      <c r="C20" s="27">
        <v>0</v>
      </c>
      <c r="D20" s="27">
        <v>0</v>
      </c>
    </row>
    <row r="21" spans="1:4" x14ac:dyDescent="0.3">
      <c r="A21" s="103" t="s">
        <v>312</v>
      </c>
      <c r="B21" s="28" t="s">
        <v>298</v>
      </c>
      <c r="C21" s="27">
        <v>0</v>
      </c>
      <c r="D21" s="27">
        <v>0</v>
      </c>
    </row>
    <row r="22" spans="1:4" x14ac:dyDescent="0.3">
      <c r="A22" s="103" t="s">
        <v>313</v>
      </c>
      <c r="B22" s="28" t="s">
        <v>299</v>
      </c>
      <c r="C22" s="27">
        <v>0</v>
      </c>
      <c r="D22" s="27">
        <v>0</v>
      </c>
    </row>
    <row r="23" spans="1:4" ht="24.6" x14ac:dyDescent="0.3">
      <c r="A23" s="103" t="s">
        <v>314</v>
      </c>
      <c r="B23" s="69" t="s">
        <v>301</v>
      </c>
      <c r="C23" s="27">
        <v>0</v>
      </c>
      <c r="D23" s="27">
        <v>0</v>
      </c>
    </row>
    <row r="24" spans="1:4" ht="28.8" x14ac:dyDescent="0.3">
      <c r="A24" s="103" t="s">
        <v>315</v>
      </c>
      <c r="B24" s="28" t="s">
        <v>300</v>
      </c>
      <c r="C24" s="27">
        <v>393.14</v>
      </c>
      <c r="D24" s="27">
        <v>393.14</v>
      </c>
    </row>
    <row r="25" spans="1:4" x14ac:dyDescent="0.3">
      <c r="A25" s="103" t="s">
        <v>316</v>
      </c>
      <c r="B25" s="97" t="s">
        <v>302</v>
      </c>
      <c r="C25" s="27">
        <v>191.69</v>
      </c>
      <c r="D25" s="27">
        <v>191.69</v>
      </c>
    </row>
    <row r="26" spans="1:4" x14ac:dyDescent="0.3">
      <c r="A26" s="103" t="s">
        <v>317</v>
      </c>
      <c r="B26" s="97" t="s">
        <v>303</v>
      </c>
      <c r="C26" s="27">
        <v>52.16</v>
      </c>
      <c r="D26" s="27">
        <v>52.16</v>
      </c>
    </row>
    <row r="27" spans="1:4" x14ac:dyDescent="0.3">
      <c r="A27" s="103" t="s">
        <v>318</v>
      </c>
      <c r="B27" s="28" t="s">
        <v>304</v>
      </c>
      <c r="C27" s="27">
        <v>0</v>
      </c>
      <c r="D27" s="27">
        <v>0</v>
      </c>
    </row>
    <row r="28" spans="1:4" x14ac:dyDescent="0.3">
      <c r="A28" s="103" t="s">
        <v>319</v>
      </c>
      <c r="B28" s="28" t="s">
        <v>305</v>
      </c>
      <c r="C28" s="27">
        <v>0</v>
      </c>
      <c r="D28" s="27">
        <v>0</v>
      </c>
    </row>
    <row r="29" spans="1:4" x14ac:dyDescent="0.3">
      <c r="A29" s="103" t="s">
        <v>320</v>
      </c>
      <c r="B29" s="28" t="s">
        <v>163</v>
      </c>
      <c r="C29" s="122">
        <v>1168.8</v>
      </c>
      <c r="D29" s="122">
        <v>1168.8</v>
      </c>
    </row>
    <row r="30" spans="1:4" x14ac:dyDescent="0.3">
      <c r="A30" s="108" t="s">
        <v>226</v>
      </c>
      <c r="B30" s="157" t="s">
        <v>321</v>
      </c>
      <c r="C30" s="100">
        <v>96.22</v>
      </c>
      <c r="D30" s="100">
        <v>96.22</v>
      </c>
    </row>
    <row r="31" spans="1:4" x14ac:dyDescent="0.3">
      <c r="A31" s="103" t="s">
        <v>326</v>
      </c>
      <c r="B31" s="28" t="s">
        <v>322</v>
      </c>
      <c r="C31" s="96">
        <v>96.22</v>
      </c>
      <c r="D31" s="96">
        <v>96.22</v>
      </c>
    </row>
    <row r="32" spans="1:4" x14ac:dyDescent="0.3">
      <c r="A32" s="103" t="s">
        <v>327</v>
      </c>
      <c r="B32" s="28" t="s">
        <v>323</v>
      </c>
      <c r="C32" s="96">
        <v>0</v>
      </c>
      <c r="D32" s="96">
        <v>0</v>
      </c>
    </row>
    <row r="33" spans="1:10" ht="24.6" customHeight="1" x14ac:dyDescent="0.3">
      <c r="A33" s="103" t="s">
        <v>328</v>
      </c>
      <c r="B33" s="28" t="s">
        <v>324</v>
      </c>
      <c r="C33" s="96">
        <v>0</v>
      </c>
      <c r="D33" s="96">
        <v>0</v>
      </c>
    </row>
    <row r="34" spans="1:10" ht="16.2" customHeight="1" x14ac:dyDescent="0.3">
      <c r="A34" s="103" t="s">
        <v>329</v>
      </c>
      <c r="B34" s="28" t="s">
        <v>325</v>
      </c>
      <c r="C34" s="96">
        <v>0</v>
      </c>
      <c r="D34" s="96">
        <v>0</v>
      </c>
    </row>
    <row r="35" spans="1:10" ht="30.6" customHeight="1" x14ac:dyDescent="0.3">
      <c r="A35" s="109" t="s">
        <v>330</v>
      </c>
      <c r="B35" s="157" t="s">
        <v>331</v>
      </c>
      <c r="C35" s="100">
        <v>423.6</v>
      </c>
      <c r="D35" s="100">
        <v>423.6</v>
      </c>
    </row>
    <row r="36" spans="1:10" x14ac:dyDescent="0.3">
      <c r="A36" s="103" t="s">
        <v>336</v>
      </c>
      <c r="B36" s="28" t="s">
        <v>332</v>
      </c>
      <c r="C36" s="96">
        <v>0</v>
      </c>
      <c r="D36" s="96">
        <v>0</v>
      </c>
    </row>
    <row r="37" spans="1:10" ht="22.8" customHeight="1" x14ac:dyDescent="0.3">
      <c r="A37" s="103" t="s">
        <v>337</v>
      </c>
      <c r="B37" s="69" t="s">
        <v>333</v>
      </c>
      <c r="C37" s="96">
        <v>423.6</v>
      </c>
      <c r="D37" s="96">
        <v>423.6</v>
      </c>
    </row>
    <row r="38" spans="1:10" ht="16.05" customHeight="1" x14ac:dyDescent="0.3">
      <c r="A38" s="103" t="s">
        <v>338</v>
      </c>
      <c r="B38" s="28" t="s">
        <v>334</v>
      </c>
      <c r="C38" s="96">
        <v>0</v>
      </c>
      <c r="D38" s="96">
        <v>0</v>
      </c>
    </row>
    <row r="39" spans="1:10" x14ac:dyDescent="0.3">
      <c r="A39" s="103" t="s">
        <v>339</v>
      </c>
      <c r="B39" s="28" t="s">
        <v>335</v>
      </c>
      <c r="C39" s="96">
        <v>0</v>
      </c>
      <c r="D39" s="96">
        <v>0</v>
      </c>
      <c r="E39" s="37"/>
      <c r="F39" s="37"/>
      <c r="G39" s="37"/>
      <c r="H39" s="37"/>
      <c r="I39" s="37"/>
      <c r="J39" s="37"/>
    </row>
    <row r="40" spans="1:10" x14ac:dyDescent="0.3">
      <c r="A40" s="103"/>
      <c r="B40" s="34" t="s">
        <v>164</v>
      </c>
      <c r="C40" s="100">
        <f>C5+C10+C11+C30+C35+0.01</f>
        <v>54139.409999999996</v>
      </c>
      <c r="D40" s="100">
        <f>D5+D10+D11+D30+D35+0.01</f>
        <v>57735.360000000008</v>
      </c>
      <c r="E40" s="37"/>
      <c r="F40" s="37"/>
      <c r="G40" s="37"/>
      <c r="H40" s="37"/>
      <c r="I40" s="37"/>
      <c r="J40" s="37"/>
    </row>
    <row r="41" spans="1:10" x14ac:dyDescent="0.3">
      <c r="A41" s="104"/>
      <c r="B41" s="98"/>
      <c r="C41" s="99"/>
      <c r="E41" s="37"/>
      <c r="F41" s="37"/>
      <c r="G41" s="37"/>
      <c r="H41" s="37"/>
      <c r="I41" s="37"/>
      <c r="J41" s="37"/>
    </row>
    <row r="42" spans="1:10" x14ac:dyDescent="0.3">
      <c r="A42" s="104"/>
      <c r="B42" s="98"/>
      <c r="C42" s="99"/>
    </row>
    <row r="43" spans="1:10" ht="43.8" customHeight="1" x14ac:dyDescent="0.3">
      <c r="A43" s="103"/>
      <c r="B43" s="110" t="s">
        <v>165</v>
      </c>
      <c r="C43" s="28" t="s">
        <v>497</v>
      </c>
      <c r="D43" s="28" t="s">
        <v>498</v>
      </c>
    </row>
    <row r="44" spans="1:10" x14ac:dyDescent="0.3">
      <c r="A44" s="27" t="s">
        <v>159</v>
      </c>
      <c r="B44" s="27" t="s">
        <v>86</v>
      </c>
      <c r="C44" s="27"/>
      <c r="D44" s="27"/>
    </row>
    <row r="45" spans="1:10" x14ac:dyDescent="0.3">
      <c r="A45" s="103" t="s">
        <v>340</v>
      </c>
      <c r="B45" s="111" t="s">
        <v>341</v>
      </c>
      <c r="C45" s="27">
        <v>9936.82</v>
      </c>
      <c r="D45" s="27">
        <v>9957.17</v>
      </c>
    </row>
    <row r="46" spans="1:10" x14ac:dyDescent="0.3">
      <c r="A46" s="103" t="s">
        <v>342</v>
      </c>
      <c r="B46" s="28" t="s">
        <v>343</v>
      </c>
      <c r="C46" s="27">
        <v>57.91</v>
      </c>
      <c r="D46" s="27">
        <v>57.91</v>
      </c>
    </row>
    <row r="47" spans="1:10" s="37" customFormat="1" x14ac:dyDescent="0.3">
      <c r="A47" s="103" t="s">
        <v>346</v>
      </c>
      <c r="B47" s="28" t="s">
        <v>344</v>
      </c>
      <c r="C47" s="27">
        <v>229.59</v>
      </c>
      <c r="D47" s="27">
        <v>265.88</v>
      </c>
      <c r="E47" s="3"/>
      <c r="F47" s="3"/>
      <c r="G47" s="3"/>
      <c r="H47" s="3"/>
      <c r="I47" s="3"/>
      <c r="J47" s="3"/>
    </row>
    <row r="48" spans="1:10" s="37" customFormat="1" x14ac:dyDescent="0.3">
      <c r="A48" s="103" t="s">
        <v>347</v>
      </c>
      <c r="B48" s="28" t="s">
        <v>345</v>
      </c>
      <c r="C48" s="27">
        <v>1153.02</v>
      </c>
      <c r="D48" s="27">
        <v>1153.02</v>
      </c>
      <c r="E48" s="3"/>
      <c r="F48" s="3"/>
      <c r="G48" s="3"/>
      <c r="H48" s="3"/>
      <c r="I48" s="3"/>
      <c r="J48" s="3"/>
    </row>
    <row r="49" spans="1:10" s="37" customFormat="1" x14ac:dyDescent="0.3">
      <c r="A49" s="103" t="s">
        <v>348</v>
      </c>
      <c r="B49" s="28" t="s">
        <v>349</v>
      </c>
      <c r="C49" s="27">
        <v>2941.14</v>
      </c>
      <c r="D49" s="27">
        <f>D51+D52+D53</f>
        <v>2941.1400000000003</v>
      </c>
      <c r="E49" s="3"/>
      <c r="F49" s="3"/>
      <c r="G49" s="3"/>
      <c r="H49" s="3"/>
      <c r="I49" s="3"/>
      <c r="J49" s="3"/>
    </row>
    <row r="50" spans="1:10" s="37" customFormat="1" x14ac:dyDescent="0.3">
      <c r="A50" s="103" t="s">
        <v>352</v>
      </c>
      <c r="B50" s="28" t="s">
        <v>350</v>
      </c>
      <c r="C50" s="27">
        <v>0</v>
      </c>
      <c r="D50" s="27">
        <v>0</v>
      </c>
      <c r="E50" s="3"/>
      <c r="F50" s="3"/>
      <c r="G50" s="3"/>
      <c r="H50" s="3"/>
      <c r="I50" s="3"/>
      <c r="J50" s="3"/>
    </row>
    <row r="51" spans="1:10" s="37" customFormat="1" x14ac:dyDescent="0.3">
      <c r="A51" s="103" t="s">
        <v>353</v>
      </c>
      <c r="B51" s="28" t="s">
        <v>247</v>
      </c>
      <c r="C51" s="27">
        <v>52.78</v>
      </c>
      <c r="D51" s="27">
        <v>52.78</v>
      </c>
      <c r="E51" s="3"/>
      <c r="F51" s="3"/>
      <c r="G51" s="3"/>
      <c r="H51" s="3"/>
      <c r="I51" s="3"/>
      <c r="J51" s="3"/>
    </row>
    <row r="52" spans="1:10" x14ac:dyDescent="0.3">
      <c r="A52" s="103" t="s">
        <v>354</v>
      </c>
      <c r="B52" s="28" t="s">
        <v>351</v>
      </c>
      <c r="C52" s="27">
        <v>20.96</v>
      </c>
      <c r="D52" s="27">
        <v>20.96</v>
      </c>
    </row>
    <row r="53" spans="1:10" x14ac:dyDescent="0.3">
      <c r="A53" s="103" t="s">
        <v>355</v>
      </c>
      <c r="B53" s="28" t="s">
        <v>248</v>
      </c>
      <c r="C53" s="27">
        <v>2867.4</v>
      </c>
      <c r="D53" s="27">
        <v>2867.4</v>
      </c>
    </row>
    <row r="54" spans="1:10" x14ac:dyDescent="0.3">
      <c r="A54" s="103" t="s">
        <v>356</v>
      </c>
      <c r="B54" s="28" t="s">
        <v>357</v>
      </c>
      <c r="C54" s="27">
        <v>13107.61</v>
      </c>
      <c r="D54" s="27">
        <v>13107.61</v>
      </c>
    </row>
    <row r="55" spans="1:10" x14ac:dyDescent="0.3">
      <c r="A55" s="103" t="s">
        <v>358</v>
      </c>
      <c r="B55" s="28" t="s">
        <v>166</v>
      </c>
      <c r="C55" s="27">
        <v>0</v>
      </c>
      <c r="D55" s="27">
        <v>0</v>
      </c>
    </row>
    <row r="56" spans="1:10" x14ac:dyDescent="0.3">
      <c r="A56" s="103" t="s">
        <v>365</v>
      </c>
      <c r="B56" s="28" t="s">
        <v>359</v>
      </c>
      <c r="C56" s="27">
        <v>105.9</v>
      </c>
      <c r="D56" s="27">
        <v>105.9</v>
      </c>
    </row>
    <row r="57" spans="1:10" ht="28.8" x14ac:dyDescent="0.3">
      <c r="A57" s="103" t="s">
        <v>366</v>
      </c>
      <c r="B57" s="28" t="s">
        <v>377</v>
      </c>
      <c r="C57" s="27">
        <v>0</v>
      </c>
      <c r="D57" s="27">
        <v>0</v>
      </c>
    </row>
    <row r="58" spans="1:10" x14ac:dyDescent="0.3">
      <c r="A58" s="103" t="s">
        <v>367</v>
      </c>
      <c r="B58" s="28" t="s">
        <v>360</v>
      </c>
      <c r="C58" s="27">
        <v>5891.47</v>
      </c>
      <c r="D58" s="27">
        <v>5891.47</v>
      </c>
    </row>
    <row r="59" spans="1:10" x14ac:dyDescent="0.3">
      <c r="A59" s="103" t="s">
        <v>368</v>
      </c>
      <c r="B59" s="28" t="s">
        <v>361</v>
      </c>
      <c r="C59" s="27"/>
      <c r="D59" s="27"/>
    </row>
    <row r="60" spans="1:10" x14ac:dyDescent="0.3">
      <c r="A60" s="103" t="s">
        <v>369</v>
      </c>
      <c r="B60" s="28" t="s">
        <v>362</v>
      </c>
      <c r="C60" s="27">
        <v>5891.47</v>
      </c>
      <c r="D60" s="27">
        <v>5891.47</v>
      </c>
    </row>
    <row r="61" spans="1:10" x14ac:dyDescent="0.3">
      <c r="A61" s="103" t="s">
        <v>370</v>
      </c>
      <c r="B61" s="28" t="s">
        <v>363</v>
      </c>
      <c r="C61" s="27"/>
      <c r="D61" s="27"/>
    </row>
    <row r="62" spans="1:10" ht="28.8" x14ac:dyDescent="0.3">
      <c r="A62" s="194" t="s">
        <v>371</v>
      </c>
      <c r="B62" s="28" t="s">
        <v>624</v>
      </c>
      <c r="C62" s="27"/>
      <c r="D62" s="27">
        <v>11486.51</v>
      </c>
    </row>
    <row r="63" spans="1:10" x14ac:dyDescent="0.3">
      <c r="A63" s="103"/>
      <c r="B63" s="34" t="s">
        <v>508</v>
      </c>
      <c r="C63" s="40">
        <f>C45+C46+C47+C48+C49+C54+C56+C57+C58+C61+C62+0.01</f>
        <v>33423.47</v>
      </c>
      <c r="D63" s="100">
        <f>D45+D46+D47+D48+D49+D54+D56+D57+D58+D61+D62</f>
        <v>44966.61</v>
      </c>
      <c r="E63" s="37"/>
      <c r="F63" s="37"/>
      <c r="G63" s="37"/>
      <c r="H63" s="37"/>
      <c r="I63" s="37"/>
      <c r="J63" s="37"/>
    </row>
    <row r="64" spans="1:10" x14ac:dyDescent="0.3">
      <c r="A64" s="103"/>
      <c r="B64" s="34"/>
      <c r="C64" s="40"/>
      <c r="D64" s="27"/>
      <c r="E64" s="37"/>
      <c r="F64" s="37"/>
      <c r="G64" s="37"/>
      <c r="H64" s="37"/>
      <c r="I64" s="37"/>
      <c r="J64" s="37"/>
    </row>
    <row r="65" spans="1:10" x14ac:dyDescent="0.3">
      <c r="A65" s="202" t="s">
        <v>372</v>
      </c>
      <c r="B65" s="203"/>
      <c r="C65" s="203"/>
      <c r="D65" s="27"/>
    </row>
    <row r="66" spans="1:10" x14ac:dyDescent="0.3">
      <c r="A66" s="103" t="s">
        <v>373</v>
      </c>
      <c r="B66" s="28" t="s">
        <v>426</v>
      </c>
      <c r="C66" s="27"/>
      <c r="D66" s="27"/>
    </row>
    <row r="67" spans="1:10" ht="28.8" x14ac:dyDescent="0.3">
      <c r="A67" s="103" t="s">
        <v>374</v>
      </c>
      <c r="B67" s="28" t="s">
        <v>412</v>
      </c>
      <c r="C67" s="27"/>
      <c r="D67" s="27"/>
    </row>
    <row r="68" spans="1:10" ht="15.6" x14ac:dyDescent="0.3">
      <c r="A68" s="103" t="s">
        <v>397</v>
      </c>
      <c r="B68" s="112" t="s">
        <v>375</v>
      </c>
      <c r="C68" s="100">
        <f>C40+C63+C66</f>
        <v>87562.880000000005</v>
      </c>
      <c r="D68" s="100">
        <f>D40+D63+D66</f>
        <v>102701.97</v>
      </c>
    </row>
    <row r="70" spans="1:10" ht="12" customHeight="1" x14ac:dyDescent="0.3"/>
    <row r="71" spans="1:10" ht="15" customHeight="1" x14ac:dyDescent="0.3">
      <c r="A71" s="44" t="s">
        <v>0</v>
      </c>
      <c r="B71" s="135"/>
      <c r="C71" s="3" t="s">
        <v>227</v>
      </c>
    </row>
    <row r="75" spans="1:10" s="37" customFormat="1" x14ac:dyDescent="0.3">
      <c r="A75" s="3"/>
      <c r="B75" s="3"/>
      <c r="C75" s="3"/>
      <c r="E75" s="3"/>
      <c r="F75" s="3"/>
      <c r="G75" s="3"/>
      <c r="H75" s="3"/>
      <c r="I75" s="3"/>
      <c r="J75" s="3"/>
    </row>
    <row r="76" spans="1:10" s="37" customFormat="1" ht="27.45" customHeight="1" x14ac:dyDescent="0.3">
      <c r="A76" s="3"/>
      <c r="B76" s="3"/>
      <c r="C76" s="3"/>
      <c r="E76" s="3"/>
      <c r="F76" s="3"/>
      <c r="G76" s="3"/>
      <c r="H76" s="3"/>
      <c r="I76" s="3"/>
      <c r="J76" s="3"/>
    </row>
  </sheetData>
  <mergeCells count="2">
    <mergeCell ref="A65:C65"/>
    <mergeCell ref="A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Y51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Q1048576"/>
    </sheetView>
  </sheetViews>
  <sheetFormatPr defaultColWidth="9.21875" defaultRowHeight="13.2" outlineLevelRow="1" outlineLevelCol="2" x14ac:dyDescent="0.25"/>
  <cols>
    <col min="1" max="1" width="10" style="4" customWidth="1" outlineLevel="1"/>
    <col min="2" max="2" width="43.33203125" style="4" customWidth="1" outlineLevel="1"/>
    <col min="3" max="3" width="7.21875" style="4" hidden="1" customWidth="1" outlineLevel="2"/>
    <col min="4" max="4" width="8.21875" style="4" hidden="1" customWidth="1" outlineLevel="2"/>
    <col min="5" max="5" width="8.6640625" style="4" hidden="1" customWidth="1" outlineLevel="2"/>
    <col min="6" max="6" width="9.6640625" style="4" hidden="1" customWidth="1" outlineLevel="2"/>
    <col min="7" max="13" width="9.21875" style="4" hidden="1" customWidth="1" outlineLevel="2"/>
    <col min="14" max="14" width="8.21875" style="4" hidden="1" customWidth="1" outlineLevel="2"/>
    <col min="15" max="17" width="9.21875" style="4" hidden="1" customWidth="1" outlineLevel="2"/>
    <col min="18" max="18" width="9.44140625" style="4" customWidth="1" outlineLevel="1" collapsed="1"/>
    <col min="19" max="21" width="9.21875" style="4" customWidth="1" outlineLevel="1"/>
    <col min="22" max="22" width="9.44140625" style="4" bestFit="1" customWidth="1"/>
    <col min="23" max="23" width="9.21875" style="4"/>
    <col min="24" max="24" width="9.44140625" style="4" bestFit="1" customWidth="1"/>
    <col min="25" max="245" width="9.21875" style="4"/>
    <col min="246" max="246" width="6.44140625" style="4" customWidth="1"/>
    <col min="247" max="247" width="47.77734375" style="4" customWidth="1"/>
    <col min="248" max="248" width="12.77734375" style="4" customWidth="1"/>
    <col min="249" max="249" width="14.44140625" style="4" customWidth="1"/>
    <col min="250" max="250" width="12.21875" style="4" customWidth="1"/>
    <col min="251" max="252" width="11.77734375" style="4" customWidth="1"/>
    <col min="253" max="501" width="9.21875" style="4"/>
    <col min="502" max="502" width="6.44140625" style="4" customWidth="1"/>
    <col min="503" max="503" width="47.77734375" style="4" customWidth="1"/>
    <col min="504" max="504" width="12.77734375" style="4" customWidth="1"/>
    <col min="505" max="505" width="14.44140625" style="4" customWidth="1"/>
    <col min="506" max="506" width="12.21875" style="4" customWidth="1"/>
    <col min="507" max="508" width="11.77734375" style="4" customWidth="1"/>
    <col min="509" max="757" width="9.21875" style="4"/>
    <col min="758" max="758" width="6.44140625" style="4" customWidth="1"/>
    <col min="759" max="759" width="47.77734375" style="4" customWidth="1"/>
    <col min="760" max="760" width="12.77734375" style="4" customWidth="1"/>
    <col min="761" max="761" width="14.44140625" style="4" customWidth="1"/>
    <col min="762" max="762" width="12.21875" style="4" customWidth="1"/>
    <col min="763" max="764" width="11.77734375" style="4" customWidth="1"/>
    <col min="765" max="1013" width="9.21875" style="4"/>
    <col min="1014" max="1014" width="6.44140625" style="4" customWidth="1"/>
    <col min="1015" max="1015" width="47.77734375" style="4" customWidth="1"/>
    <col min="1016" max="1016" width="12.77734375" style="4" customWidth="1"/>
    <col min="1017" max="1017" width="14.44140625" style="4" customWidth="1"/>
    <col min="1018" max="1018" width="12.21875" style="4" customWidth="1"/>
    <col min="1019" max="1020" width="11.77734375" style="4" customWidth="1"/>
    <col min="1021" max="1269" width="9.21875" style="4"/>
    <col min="1270" max="1270" width="6.44140625" style="4" customWidth="1"/>
    <col min="1271" max="1271" width="47.77734375" style="4" customWidth="1"/>
    <col min="1272" max="1272" width="12.77734375" style="4" customWidth="1"/>
    <col min="1273" max="1273" width="14.44140625" style="4" customWidth="1"/>
    <col min="1274" max="1274" width="12.21875" style="4" customWidth="1"/>
    <col min="1275" max="1276" width="11.77734375" style="4" customWidth="1"/>
    <col min="1277" max="1525" width="9.21875" style="4"/>
    <col min="1526" max="1526" width="6.44140625" style="4" customWidth="1"/>
    <col min="1527" max="1527" width="47.77734375" style="4" customWidth="1"/>
    <col min="1528" max="1528" width="12.77734375" style="4" customWidth="1"/>
    <col min="1529" max="1529" width="14.44140625" style="4" customWidth="1"/>
    <col min="1530" max="1530" width="12.21875" style="4" customWidth="1"/>
    <col min="1531" max="1532" width="11.77734375" style="4" customWidth="1"/>
    <col min="1533" max="1781" width="9.21875" style="4"/>
    <col min="1782" max="1782" width="6.44140625" style="4" customWidth="1"/>
    <col min="1783" max="1783" width="47.77734375" style="4" customWidth="1"/>
    <col min="1784" max="1784" width="12.77734375" style="4" customWidth="1"/>
    <col min="1785" max="1785" width="14.44140625" style="4" customWidth="1"/>
    <col min="1786" max="1786" width="12.21875" style="4" customWidth="1"/>
    <col min="1787" max="1788" width="11.77734375" style="4" customWidth="1"/>
    <col min="1789" max="2037" width="9.21875" style="4"/>
    <col min="2038" max="2038" width="6.44140625" style="4" customWidth="1"/>
    <col min="2039" max="2039" width="47.77734375" style="4" customWidth="1"/>
    <col min="2040" max="2040" width="12.77734375" style="4" customWidth="1"/>
    <col min="2041" max="2041" width="14.44140625" style="4" customWidth="1"/>
    <col min="2042" max="2042" width="12.21875" style="4" customWidth="1"/>
    <col min="2043" max="2044" width="11.77734375" style="4" customWidth="1"/>
    <col min="2045" max="2293" width="9.21875" style="4"/>
    <col min="2294" max="2294" width="6.44140625" style="4" customWidth="1"/>
    <col min="2295" max="2295" width="47.77734375" style="4" customWidth="1"/>
    <col min="2296" max="2296" width="12.77734375" style="4" customWidth="1"/>
    <col min="2297" max="2297" width="14.44140625" style="4" customWidth="1"/>
    <col min="2298" max="2298" width="12.21875" style="4" customWidth="1"/>
    <col min="2299" max="2300" width="11.77734375" style="4" customWidth="1"/>
    <col min="2301" max="2549" width="9.21875" style="4"/>
    <col min="2550" max="2550" width="6.44140625" style="4" customWidth="1"/>
    <col min="2551" max="2551" width="47.77734375" style="4" customWidth="1"/>
    <col min="2552" max="2552" width="12.77734375" style="4" customWidth="1"/>
    <col min="2553" max="2553" width="14.44140625" style="4" customWidth="1"/>
    <col min="2554" max="2554" width="12.21875" style="4" customWidth="1"/>
    <col min="2555" max="2556" width="11.77734375" style="4" customWidth="1"/>
    <col min="2557" max="2805" width="9.21875" style="4"/>
    <col min="2806" max="2806" width="6.44140625" style="4" customWidth="1"/>
    <col min="2807" max="2807" width="47.77734375" style="4" customWidth="1"/>
    <col min="2808" max="2808" width="12.77734375" style="4" customWidth="1"/>
    <col min="2809" max="2809" width="14.44140625" style="4" customWidth="1"/>
    <col min="2810" max="2810" width="12.21875" style="4" customWidth="1"/>
    <col min="2811" max="2812" width="11.77734375" style="4" customWidth="1"/>
    <col min="2813" max="3061" width="9.21875" style="4"/>
    <col min="3062" max="3062" width="6.44140625" style="4" customWidth="1"/>
    <col min="3063" max="3063" width="47.77734375" style="4" customWidth="1"/>
    <col min="3064" max="3064" width="12.77734375" style="4" customWidth="1"/>
    <col min="3065" max="3065" width="14.44140625" style="4" customWidth="1"/>
    <col min="3066" max="3066" width="12.21875" style="4" customWidth="1"/>
    <col min="3067" max="3068" width="11.77734375" style="4" customWidth="1"/>
    <col min="3069" max="3317" width="9.21875" style="4"/>
    <col min="3318" max="3318" width="6.44140625" style="4" customWidth="1"/>
    <col min="3319" max="3319" width="47.77734375" style="4" customWidth="1"/>
    <col min="3320" max="3320" width="12.77734375" style="4" customWidth="1"/>
    <col min="3321" max="3321" width="14.44140625" style="4" customWidth="1"/>
    <col min="3322" max="3322" width="12.21875" style="4" customWidth="1"/>
    <col min="3323" max="3324" width="11.77734375" style="4" customWidth="1"/>
    <col min="3325" max="3573" width="9.21875" style="4"/>
    <col min="3574" max="3574" width="6.44140625" style="4" customWidth="1"/>
    <col min="3575" max="3575" width="47.77734375" style="4" customWidth="1"/>
    <col min="3576" max="3576" width="12.77734375" style="4" customWidth="1"/>
    <col min="3577" max="3577" width="14.44140625" style="4" customWidth="1"/>
    <col min="3578" max="3578" width="12.21875" style="4" customWidth="1"/>
    <col min="3579" max="3580" width="11.77734375" style="4" customWidth="1"/>
    <col min="3581" max="3829" width="9.21875" style="4"/>
    <col min="3830" max="3830" width="6.44140625" style="4" customWidth="1"/>
    <col min="3831" max="3831" width="47.77734375" style="4" customWidth="1"/>
    <col min="3832" max="3832" width="12.77734375" style="4" customWidth="1"/>
    <col min="3833" max="3833" width="14.44140625" style="4" customWidth="1"/>
    <col min="3834" max="3834" width="12.21875" style="4" customWidth="1"/>
    <col min="3835" max="3836" width="11.77734375" style="4" customWidth="1"/>
    <col min="3837" max="4085" width="9.21875" style="4"/>
    <col min="4086" max="4086" width="6.44140625" style="4" customWidth="1"/>
    <col min="4087" max="4087" width="47.77734375" style="4" customWidth="1"/>
    <col min="4088" max="4088" width="12.77734375" style="4" customWidth="1"/>
    <col min="4089" max="4089" width="14.44140625" style="4" customWidth="1"/>
    <col min="4090" max="4090" width="12.21875" style="4" customWidth="1"/>
    <col min="4091" max="4092" width="11.77734375" style="4" customWidth="1"/>
    <col min="4093" max="4341" width="9.21875" style="4"/>
    <col min="4342" max="4342" width="6.44140625" style="4" customWidth="1"/>
    <col min="4343" max="4343" width="47.77734375" style="4" customWidth="1"/>
    <col min="4344" max="4344" width="12.77734375" style="4" customWidth="1"/>
    <col min="4345" max="4345" width="14.44140625" style="4" customWidth="1"/>
    <col min="4346" max="4346" width="12.21875" style="4" customWidth="1"/>
    <col min="4347" max="4348" width="11.77734375" style="4" customWidth="1"/>
    <col min="4349" max="4597" width="9.21875" style="4"/>
    <col min="4598" max="4598" width="6.44140625" style="4" customWidth="1"/>
    <col min="4599" max="4599" width="47.77734375" style="4" customWidth="1"/>
    <col min="4600" max="4600" width="12.77734375" style="4" customWidth="1"/>
    <col min="4601" max="4601" width="14.44140625" style="4" customWidth="1"/>
    <col min="4602" max="4602" width="12.21875" style="4" customWidth="1"/>
    <col min="4603" max="4604" width="11.77734375" style="4" customWidth="1"/>
    <col min="4605" max="4853" width="9.21875" style="4"/>
    <col min="4854" max="4854" width="6.44140625" style="4" customWidth="1"/>
    <col min="4855" max="4855" width="47.77734375" style="4" customWidth="1"/>
    <col min="4856" max="4856" width="12.77734375" style="4" customWidth="1"/>
    <col min="4857" max="4857" width="14.44140625" style="4" customWidth="1"/>
    <col min="4858" max="4858" width="12.21875" style="4" customWidth="1"/>
    <col min="4859" max="4860" width="11.77734375" style="4" customWidth="1"/>
    <col min="4861" max="5109" width="9.21875" style="4"/>
    <col min="5110" max="5110" width="6.44140625" style="4" customWidth="1"/>
    <col min="5111" max="5111" width="47.77734375" style="4" customWidth="1"/>
    <col min="5112" max="5112" width="12.77734375" style="4" customWidth="1"/>
    <col min="5113" max="5113" width="14.44140625" style="4" customWidth="1"/>
    <col min="5114" max="5114" width="12.21875" style="4" customWidth="1"/>
    <col min="5115" max="5116" width="11.77734375" style="4" customWidth="1"/>
    <col min="5117" max="5365" width="9.21875" style="4"/>
    <col min="5366" max="5366" width="6.44140625" style="4" customWidth="1"/>
    <col min="5367" max="5367" width="47.77734375" style="4" customWidth="1"/>
    <col min="5368" max="5368" width="12.77734375" style="4" customWidth="1"/>
    <col min="5369" max="5369" width="14.44140625" style="4" customWidth="1"/>
    <col min="5370" max="5370" width="12.21875" style="4" customWidth="1"/>
    <col min="5371" max="5372" width="11.77734375" style="4" customWidth="1"/>
    <col min="5373" max="5621" width="9.21875" style="4"/>
    <col min="5622" max="5622" width="6.44140625" style="4" customWidth="1"/>
    <col min="5623" max="5623" width="47.77734375" style="4" customWidth="1"/>
    <col min="5624" max="5624" width="12.77734375" style="4" customWidth="1"/>
    <col min="5625" max="5625" width="14.44140625" style="4" customWidth="1"/>
    <col min="5626" max="5626" width="12.21875" style="4" customWidth="1"/>
    <col min="5627" max="5628" width="11.77734375" style="4" customWidth="1"/>
    <col min="5629" max="5877" width="9.21875" style="4"/>
    <col min="5878" max="5878" width="6.44140625" style="4" customWidth="1"/>
    <col min="5879" max="5879" width="47.77734375" style="4" customWidth="1"/>
    <col min="5880" max="5880" width="12.77734375" style="4" customWidth="1"/>
    <col min="5881" max="5881" width="14.44140625" style="4" customWidth="1"/>
    <col min="5882" max="5882" width="12.21875" style="4" customWidth="1"/>
    <col min="5883" max="5884" width="11.77734375" style="4" customWidth="1"/>
    <col min="5885" max="6133" width="9.21875" style="4"/>
    <col min="6134" max="6134" width="6.44140625" style="4" customWidth="1"/>
    <col min="6135" max="6135" width="47.77734375" style="4" customWidth="1"/>
    <col min="6136" max="6136" width="12.77734375" style="4" customWidth="1"/>
    <col min="6137" max="6137" width="14.44140625" style="4" customWidth="1"/>
    <col min="6138" max="6138" width="12.21875" style="4" customWidth="1"/>
    <col min="6139" max="6140" width="11.77734375" style="4" customWidth="1"/>
    <col min="6141" max="6389" width="9.21875" style="4"/>
    <col min="6390" max="6390" width="6.44140625" style="4" customWidth="1"/>
    <col min="6391" max="6391" width="47.77734375" style="4" customWidth="1"/>
    <col min="6392" max="6392" width="12.77734375" style="4" customWidth="1"/>
    <col min="6393" max="6393" width="14.44140625" style="4" customWidth="1"/>
    <col min="6394" max="6394" width="12.21875" style="4" customWidth="1"/>
    <col min="6395" max="6396" width="11.77734375" style="4" customWidth="1"/>
    <col min="6397" max="6645" width="9.21875" style="4"/>
    <col min="6646" max="6646" width="6.44140625" style="4" customWidth="1"/>
    <col min="6647" max="6647" width="47.77734375" style="4" customWidth="1"/>
    <col min="6648" max="6648" width="12.77734375" style="4" customWidth="1"/>
    <col min="6649" max="6649" width="14.44140625" style="4" customWidth="1"/>
    <col min="6650" max="6650" width="12.21875" style="4" customWidth="1"/>
    <col min="6651" max="6652" width="11.77734375" style="4" customWidth="1"/>
    <col min="6653" max="6901" width="9.21875" style="4"/>
    <col min="6902" max="6902" width="6.44140625" style="4" customWidth="1"/>
    <col min="6903" max="6903" width="47.77734375" style="4" customWidth="1"/>
    <col min="6904" max="6904" width="12.77734375" style="4" customWidth="1"/>
    <col min="6905" max="6905" width="14.44140625" style="4" customWidth="1"/>
    <col min="6906" max="6906" width="12.21875" style="4" customWidth="1"/>
    <col min="6907" max="6908" width="11.77734375" style="4" customWidth="1"/>
    <col min="6909" max="7157" width="9.21875" style="4"/>
    <col min="7158" max="7158" width="6.44140625" style="4" customWidth="1"/>
    <col min="7159" max="7159" width="47.77734375" style="4" customWidth="1"/>
    <col min="7160" max="7160" width="12.77734375" style="4" customWidth="1"/>
    <col min="7161" max="7161" width="14.44140625" style="4" customWidth="1"/>
    <col min="7162" max="7162" width="12.21875" style="4" customWidth="1"/>
    <col min="7163" max="7164" width="11.77734375" style="4" customWidth="1"/>
    <col min="7165" max="7413" width="9.21875" style="4"/>
    <col min="7414" max="7414" width="6.44140625" style="4" customWidth="1"/>
    <col min="7415" max="7415" width="47.77734375" style="4" customWidth="1"/>
    <col min="7416" max="7416" width="12.77734375" style="4" customWidth="1"/>
    <col min="7417" max="7417" width="14.44140625" style="4" customWidth="1"/>
    <col min="7418" max="7418" width="12.21875" style="4" customWidth="1"/>
    <col min="7419" max="7420" width="11.77734375" style="4" customWidth="1"/>
    <col min="7421" max="7669" width="9.21875" style="4"/>
    <col min="7670" max="7670" width="6.44140625" style="4" customWidth="1"/>
    <col min="7671" max="7671" width="47.77734375" style="4" customWidth="1"/>
    <col min="7672" max="7672" width="12.77734375" style="4" customWidth="1"/>
    <col min="7673" max="7673" width="14.44140625" style="4" customWidth="1"/>
    <col min="7674" max="7674" width="12.21875" style="4" customWidth="1"/>
    <col min="7675" max="7676" width="11.77734375" style="4" customWidth="1"/>
    <col min="7677" max="7925" width="9.21875" style="4"/>
    <col min="7926" max="7926" width="6.44140625" style="4" customWidth="1"/>
    <col min="7927" max="7927" width="47.77734375" style="4" customWidth="1"/>
    <col min="7928" max="7928" width="12.77734375" style="4" customWidth="1"/>
    <col min="7929" max="7929" width="14.44140625" style="4" customWidth="1"/>
    <col min="7930" max="7930" width="12.21875" style="4" customWidth="1"/>
    <col min="7931" max="7932" width="11.77734375" style="4" customWidth="1"/>
    <col min="7933" max="8181" width="9.21875" style="4"/>
    <col min="8182" max="8182" width="6.44140625" style="4" customWidth="1"/>
    <col min="8183" max="8183" width="47.77734375" style="4" customWidth="1"/>
    <col min="8184" max="8184" width="12.77734375" style="4" customWidth="1"/>
    <col min="8185" max="8185" width="14.44140625" style="4" customWidth="1"/>
    <col min="8186" max="8186" width="12.21875" style="4" customWidth="1"/>
    <col min="8187" max="8188" width="11.77734375" style="4" customWidth="1"/>
    <col min="8189" max="8437" width="9.21875" style="4"/>
    <col min="8438" max="8438" width="6.44140625" style="4" customWidth="1"/>
    <col min="8439" max="8439" width="47.77734375" style="4" customWidth="1"/>
    <col min="8440" max="8440" width="12.77734375" style="4" customWidth="1"/>
    <col min="8441" max="8441" width="14.44140625" style="4" customWidth="1"/>
    <col min="8442" max="8442" width="12.21875" style="4" customWidth="1"/>
    <col min="8443" max="8444" width="11.77734375" style="4" customWidth="1"/>
    <col min="8445" max="8693" width="9.21875" style="4"/>
    <col min="8694" max="8694" width="6.44140625" style="4" customWidth="1"/>
    <col min="8695" max="8695" width="47.77734375" style="4" customWidth="1"/>
    <col min="8696" max="8696" width="12.77734375" style="4" customWidth="1"/>
    <col min="8697" max="8697" width="14.44140625" style="4" customWidth="1"/>
    <col min="8698" max="8698" width="12.21875" style="4" customWidth="1"/>
    <col min="8699" max="8700" width="11.77734375" style="4" customWidth="1"/>
    <col min="8701" max="8949" width="9.21875" style="4"/>
    <col min="8950" max="8950" width="6.44140625" style="4" customWidth="1"/>
    <col min="8951" max="8951" width="47.77734375" style="4" customWidth="1"/>
    <col min="8952" max="8952" width="12.77734375" style="4" customWidth="1"/>
    <col min="8953" max="8953" width="14.44140625" style="4" customWidth="1"/>
    <col min="8954" max="8954" width="12.21875" style="4" customWidth="1"/>
    <col min="8955" max="8956" width="11.77734375" style="4" customWidth="1"/>
    <col min="8957" max="9205" width="9.21875" style="4"/>
    <col min="9206" max="9206" width="6.44140625" style="4" customWidth="1"/>
    <col min="9207" max="9207" width="47.77734375" style="4" customWidth="1"/>
    <col min="9208" max="9208" width="12.77734375" style="4" customWidth="1"/>
    <col min="9209" max="9209" width="14.44140625" style="4" customWidth="1"/>
    <col min="9210" max="9210" width="12.21875" style="4" customWidth="1"/>
    <col min="9211" max="9212" width="11.77734375" style="4" customWidth="1"/>
    <col min="9213" max="9461" width="9.21875" style="4"/>
    <col min="9462" max="9462" width="6.44140625" style="4" customWidth="1"/>
    <col min="9463" max="9463" width="47.77734375" style="4" customWidth="1"/>
    <col min="9464" max="9464" width="12.77734375" style="4" customWidth="1"/>
    <col min="9465" max="9465" width="14.44140625" style="4" customWidth="1"/>
    <col min="9466" max="9466" width="12.21875" style="4" customWidth="1"/>
    <col min="9467" max="9468" width="11.77734375" style="4" customWidth="1"/>
    <col min="9469" max="9717" width="9.21875" style="4"/>
    <col min="9718" max="9718" width="6.44140625" style="4" customWidth="1"/>
    <col min="9719" max="9719" width="47.77734375" style="4" customWidth="1"/>
    <col min="9720" max="9720" width="12.77734375" style="4" customWidth="1"/>
    <col min="9721" max="9721" width="14.44140625" style="4" customWidth="1"/>
    <col min="9722" max="9722" width="12.21875" style="4" customWidth="1"/>
    <col min="9723" max="9724" width="11.77734375" style="4" customWidth="1"/>
    <col min="9725" max="9973" width="9.21875" style="4"/>
    <col min="9974" max="9974" width="6.44140625" style="4" customWidth="1"/>
    <col min="9975" max="9975" width="47.77734375" style="4" customWidth="1"/>
    <col min="9976" max="9976" width="12.77734375" style="4" customWidth="1"/>
    <col min="9977" max="9977" width="14.44140625" style="4" customWidth="1"/>
    <col min="9978" max="9978" width="12.21875" style="4" customWidth="1"/>
    <col min="9979" max="9980" width="11.77734375" style="4" customWidth="1"/>
    <col min="9981" max="10229" width="9.21875" style="4"/>
    <col min="10230" max="10230" width="6.44140625" style="4" customWidth="1"/>
    <col min="10231" max="10231" width="47.77734375" style="4" customWidth="1"/>
    <col min="10232" max="10232" width="12.77734375" style="4" customWidth="1"/>
    <col min="10233" max="10233" width="14.44140625" style="4" customWidth="1"/>
    <col min="10234" max="10234" width="12.21875" style="4" customWidth="1"/>
    <col min="10235" max="10236" width="11.77734375" style="4" customWidth="1"/>
    <col min="10237" max="10485" width="9.21875" style="4"/>
    <col min="10486" max="10486" width="6.44140625" style="4" customWidth="1"/>
    <col min="10487" max="10487" width="47.77734375" style="4" customWidth="1"/>
    <col min="10488" max="10488" width="12.77734375" style="4" customWidth="1"/>
    <col min="10489" max="10489" width="14.44140625" style="4" customWidth="1"/>
    <col min="10490" max="10490" width="12.21875" style="4" customWidth="1"/>
    <col min="10491" max="10492" width="11.77734375" style="4" customWidth="1"/>
    <col min="10493" max="10741" width="9.21875" style="4"/>
    <col min="10742" max="10742" width="6.44140625" style="4" customWidth="1"/>
    <col min="10743" max="10743" width="47.77734375" style="4" customWidth="1"/>
    <col min="10744" max="10744" width="12.77734375" style="4" customWidth="1"/>
    <col min="10745" max="10745" width="14.44140625" style="4" customWidth="1"/>
    <col min="10746" max="10746" width="12.21875" style="4" customWidth="1"/>
    <col min="10747" max="10748" width="11.77734375" style="4" customWidth="1"/>
    <col min="10749" max="10997" width="9.21875" style="4"/>
    <col min="10998" max="10998" width="6.44140625" style="4" customWidth="1"/>
    <col min="10999" max="10999" width="47.77734375" style="4" customWidth="1"/>
    <col min="11000" max="11000" width="12.77734375" style="4" customWidth="1"/>
    <col min="11001" max="11001" width="14.44140625" style="4" customWidth="1"/>
    <col min="11002" max="11002" width="12.21875" style="4" customWidth="1"/>
    <col min="11003" max="11004" width="11.77734375" style="4" customWidth="1"/>
    <col min="11005" max="11253" width="9.21875" style="4"/>
    <col min="11254" max="11254" width="6.44140625" style="4" customWidth="1"/>
    <col min="11255" max="11255" width="47.77734375" style="4" customWidth="1"/>
    <col min="11256" max="11256" width="12.77734375" style="4" customWidth="1"/>
    <col min="11257" max="11257" width="14.44140625" style="4" customWidth="1"/>
    <col min="11258" max="11258" width="12.21875" style="4" customWidth="1"/>
    <col min="11259" max="11260" width="11.77734375" style="4" customWidth="1"/>
    <col min="11261" max="11509" width="9.21875" style="4"/>
    <col min="11510" max="11510" width="6.44140625" style="4" customWidth="1"/>
    <col min="11511" max="11511" width="47.77734375" style="4" customWidth="1"/>
    <col min="11512" max="11512" width="12.77734375" style="4" customWidth="1"/>
    <col min="11513" max="11513" width="14.44140625" style="4" customWidth="1"/>
    <col min="11514" max="11514" width="12.21875" style="4" customWidth="1"/>
    <col min="11515" max="11516" width="11.77734375" style="4" customWidth="1"/>
    <col min="11517" max="11765" width="9.21875" style="4"/>
    <col min="11766" max="11766" width="6.44140625" style="4" customWidth="1"/>
    <col min="11767" max="11767" width="47.77734375" style="4" customWidth="1"/>
    <col min="11768" max="11768" width="12.77734375" style="4" customWidth="1"/>
    <col min="11769" max="11769" width="14.44140625" style="4" customWidth="1"/>
    <col min="11770" max="11770" width="12.21875" style="4" customWidth="1"/>
    <col min="11771" max="11772" width="11.77734375" style="4" customWidth="1"/>
    <col min="11773" max="12021" width="9.21875" style="4"/>
    <col min="12022" max="12022" width="6.44140625" style="4" customWidth="1"/>
    <col min="12023" max="12023" width="47.77734375" style="4" customWidth="1"/>
    <col min="12024" max="12024" width="12.77734375" style="4" customWidth="1"/>
    <col min="12025" max="12025" width="14.44140625" style="4" customWidth="1"/>
    <col min="12026" max="12026" width="12.21875" style="4" customWidth="1"/>
    <col min="12027" max="12028" width="11.77734375" style="4" customWidth="1"/>
    <col min="12029" max="12277" width="9.21875" style="4"/>
    <col min="12278" max="12278" width="6.44140625" style="4" customWidth="1"/>
    <col min="12279" max="12279" width="47.77734375" style="4" customWidth="1"/>
    <col min="12280" max="12280" width="12.77734375" style="4" customWidth="1"/>
    <col min="12281" max="12281" width="14.44140625" style="4" customWidth="1"/>
    <col min="12282" max="12282" width="12.21875" style="4" customWidth="1"/>
    <col min="12283" max="12284" width="11.77734375" style="4" customWidth="1"/>
    <col min="12285" max="12533" width="9.21875" style="4"/>
    <col min="12534" max="12534" width="6.44140625" style="4" customWidth="1"/>
    <col min="12535" max="12535" width="47.77734375" style="4" customWidth="1"/>
    <col min="12536" max="12536" width="12.77734375" style="4" customWidth="1"/>
    <col min="12537" max="12537" width="14.44140625" style="4" customWidth="1"/>
    <col min="12538" max="12538" width="12.21875" style="4" customWidth="1"/>
    <col min="12539" max="12540" width="11.77734375" style="4" customWidth="1"/>
    <col min="12541" max="12789" width="9.21875" style="4"/>
    <col min="12790" max="12790" width="6.44140625" style="4" customWidth="1"/>
    <col min="12791" max="12791" width="47.77734375" style="4" customWidth="1"/>
    <col min="12792" max="12792" width="12.77734375" style="4" customWidth="1"/>
    <col min="12793" max="12793" width="14.44140625" style="4" customWidth="1"/>
    <col min="12794" max="12794" width="12.21875" style="4" customWidth="1"/>
    <col min="12795" max="12796" width="11.77734375" style="4" customWidth="1"/>
    <col min="12797" max="13045" width="9.21875" style="4"/>
    <col min="13046" max="13046" width="6.44140625" style="4" customWidth="1"/>
    <col min="13047" max="13047" width="47.77734375" style="4" customWidth="1"/>
    <col min="13048" max="13048" width="12.77734375" style="4" customWidth="1"/>
    <col min="13049" max="13049" width="14.44140625" style="4" customWidth="1"/>
    <col min="13050" max="13050" width="12.21875" style="4" customWidth="1"/>
    <col min="13051" max="13052" width="11.77734375" style="4" customWidth="1"/>
    <col min="13053" max="13301" width="9.21875" style="4"/>
    <col min="13302" max="13302" width="6.44140625" style="4" customWidth="1"/>
    <col min="13303" max="13303" width="47.77734375" style="4" customWidth="1"/>
    <col min="13304" max="13304" width="12.77734375" style="4" customWidth="1"/>
    <col min="13305" max="13305" width="14.44140625" style="4" customWidth="1"/>
    <col min="13306" max="13306" width="12.21875" style="4" customWidth="1"/>
    <col min="13307" max="13308" width="11.77734375" style="4" customWidth="1"/>
    <col min="13309" max="13557" width="9.21875" style="4"/>
    <col min="13558" max="13558" width="6.44140625" style="4" customWidth="1"/>
    <col min="13559" max="13559" width="47.77734375" style="4" customWidth="1"/>
    <col min="13560" max="13560" width="12.77734375" style="4" customWidth="1"/>
    <col min="13561" max="13561" width="14.44140625" style="4" customWidth="1"/>
    <col min="13562" max="13562" width="12.21875" style="4" customWidth="1"/>
    <col min="13563" max="13564" width="11.77734375" style="4" customWidth="1"/>
    <col min="13565" max="13813" width="9.21875" style="4"/>
    <col min="13814" max="13814" width="6.44140625" style="4" customWidth="1"/>
    <col min="13815" max="13815" width="47.77734375" style="4" customWidth="1"/>
    <col min="13816" max="13816" width="12.77734375" style="4" customWidth="1"/>
    <col min="13817" max="13817" width="14.44140625" style="4" customWidth="1"/>
    <col min="13818" max="13818" width="12.21875" style="4" customWidth="1"/>
    <col min="13819" max="13820" width="11.77734375" style="4" customWidth="1"/>
    <col min="13821" max="14069" width="9.21875" style="4"/>
    <col min="14070" max="14070" width="6.44140625" style="4" customWidth="1"/>
    <col min="14071" max="14071" width="47.77734375" style="4" customWidth="1"/>
    <col min="14072" max="14072" width="12.77734375" style="4" customWidth="1"/>
    <col min="14073" max="14073" width="14.44140625" style="4" customWidth="1"/>
    <col min="14074" max="14074" width="12.21875" style="4" customWidth="1"/>
    <col min="14075" max="14076" width="11.77734375" style="4" customWidth="1"/>
    <col min="14077" max="14325" width="9.21875" style="4"/>
    <col min="14326" max="14326" width="6.44140625" style="4" customWidth="1"/>
    <col min="14327" max="14327" width="47.77734375" style="4" customWidth="1"/>
    <col min="14328" max="14328" width="12.77734375" style="4" customWidth="1"/>
    <col min="14329" max="14329" width="14.44140625" style="4" customWidth="1"/>
    <col min="14330" max="14330" width="12.21875" style="4" customWidth="1"/>
    <col min="14331" max="14332" width="11.77734375" style="4" customWidth="1"/>
    <col min="14333" max="14581" width="9.21875" style="4"/>
    <col min="14582" max="14582" width="6.44140625" style="4" customWidth="1"/>
    <col min="14583" max="14583" width="47.77734375" style="4" customWidth="1"/>
    <col min="14584" max="14584" width="12.77734375" style="4" customWidth="1"/>
    <col min="14585" max="14585" width="14.44140625" style="4" customWidth="1"/>
    <col min="14586" max="14586" width="12.21875" style="4" customWidth="1"/>
    <col min="14587" max="14588" width="11.77734375" style="4" customWidth="1"/>
    <col min="14589" max="14837" width="9.21875" style="4"/>
    <col min="14838" max="14838" width="6.44140625" style="4" customWidth="1"/>
    <col min="14839" max="14839" width="47.77734375" style="4" customWidth="1"/>
    <col min="14840" max="14840" width="12.77734375" style="4" customWidth="1"/>
    <col min="14841" max="14841" width="14.44140625" style="4" customWidth="1"/>
    <col min="14842" max="14842" width="12.21875" style="4" customWidth="1"/>
    <col min="14843" max="14844" width="11.77734375" style="4" customWidth="1"/>
    <col min="14845" max="15093" width="9.21875" style="4"/>
    <col min="15094" max="15094" width="6.44140625" style="4" customWidth="1"/>
    <col min="15095" max="15095" width="47.77734375" style="4" customWidth="1"/>
    <col min="15096" max="15096" width="12.77734375" style="4" customWidth="1"/>
    <col min="15097" max="15097" width="14.44140625" style="4" customWidth="1"/>
    <col min="15098" max="15098" width="12.21875" style="4" customWidth="1"/>
    <col min="15099" max="15100" width="11.77734375" style="4" customWidth="1"/>
    <col min="15101" max="15349" width="9.21875" style="4"/>
    <col min="15350" max="15350" width="6.44140625" style="4" customWidth="1"/>
    <col min="15351" max="15351" width="47.77734375" style="4" customWidth="1"/>
    <col min="15352" max="15352" width="12.77734375" style="4" customWidth="1"/>
    <col min="15353" max="15353" width="14.44140625" style="4" customWidth="1"/>
    <col min="15354" max="15354" width="12.21875" style="4" customWidth="1"/>
    <col min="15355" max="15356" width="11.77734375" style="4" customWidth="1"/>
    <col min="15357" max="15605" width="9.21875" style="4"/>
    <col min="15606" max="15606" width="6.44140625" style="4" customWidth="1"/>
    <col min="15607" max="15607" width="47.77734375" style="4" customWidth="1"/>
    <col min="15608" max="15608" width="12.77734375" style="4" customWidth="1"/>
    <col min="15609" max="15609" width="14.44140625" style="4" customWidth="1"/>
    <col min="15610" max="15610" width="12.21875" style="4" customWidth="1"/>
    <col min="15611" max="15612" width="11.77734375" style="4" customWidth="1"/>
    <col min="15613" max="15861" width="9.21875" style="4"/>
    <col min="15862" max="15862" width="6.44140625" style="4" customWidth="1"/>
    <col min="15863" max="15863" width="47.77734375" style="4" customWidth="1"/>
    <col min="15864" max="15864" width="12.77734375" style="4" customWidth="1"/>
    <col min="15865" max="15865" width="14.44140625" style="4" customWidth="1"/>
    <col min="15866" max="15866" width="12.21875" style="4" customWidth="1"/>
    <col min="15867" max="15868" width="11.77734375" style="4" customWidth="1"/>
    <col min="15869" max="16117" width="9.21875" style="4"/>
    <col min="16118" max="16118" width="6.44140625" style="4" customWidth="1"/>
    <col min="16119" max="16119" width="47.77734375" style="4" customWidth="1"/>
    <col min="16120" max="16120" width="12.77734375" style="4" customWidth="1"/>
    <col min="16121" max="16121" width="14.44140625" style="4" customWidth="1"/>
    <col min="16122" max="16122" width="12.21875" style="4" customWidth="1"/>
    <col min="16123" max="16124" width="11.77734375" style="4" customWidth="1"/>
    <col min="16125" max="16384" width="9.21875" style="4"/>
  </cols>
  <sheetData>
    <row r="1" spans="1:25" x14ac:dyDescent="0.25">
      <c r="A1" s="82"/>
      <c r="B1" s="82"/>
    </row>
    <row r="2" spans="1:25" ht="24.45" customHeight="1" x14ac:dyDescent="0.25">
      <c r="A2" s="240" t="s">
        <v>231</v>
      </c>
      <c r="B2" s="240"/>
      <c r="C2" s="240"/>
      <c r="D2" s="116"/>
      <c r="E2" s="116"/>
    </row>
    <row r="3" spans="1:25" x14ac:dyDescent="0.25">
      <c r="A3" s="82"/>
      <c r="B3" s="82"/>
    </row>
    <row r="4" spans="1:25" ht="23.55" customHeight="1" x14ac:dyDescent="0.25">
      <c r="A4" s="241" t="s">
        <v>85</v>
      </c>
      <c r="B4" s="241" t="s">
        <v>90</v>
      </c>
      <c r="C4" s="81" t="s">
        <v>245</v>
      </c>
      <c r="D4" s="36" t="s">
        <v>232</v>
      </c>
      <c r="E4" s="83" t="s">
        <v>232</v>
      </c>
      <c r="F4" s="243" t="s">
        <v>391</v>
      </c>
      <c r="G4" s="244"/>
      <c r="H4" s="245" t="s">
        <v>388</v>
      </c>
      <c r="I4" s="245" t="s">
        <v>389</v>
      </c>
      <c r="J4" s="243" t="s">
        <v>390</v>
      </c>
      <c r="K4" s="244"/>
      <c r="L4" s="245" t="s">
        <v>392</v>
      </c>
      <c r="M4" s="245" t="s">
        <v>389</v>
      </c>
      <c r="N4" s="243" t="s">
        <v>393</v>
      </c>
      <c r="O4" s="244"/>
      <c r="P4" s="247" t="s">
        <v>398</v>
      </c>
      <c r="Q4" s="245" t="s">
        <v>389</v>
      </c>
      <c r="R4" s="243" t="s">
        <v>453</v>
      </c>
      <c r="S4" s="244"/>
      <c r="T4" s="247" t="s">
        <v>454</v>
      </c>
      <c r="U4" s="245" t="s">
        <v>389</v>
      </c>
      <c r="V4" s="243" t="s">
        <v>524</v>
      </c>
      <c r="W4" s="244"/>
      <c r="X4" s="247" t="s">
        <v>525</v>
      </c>
      <c r="Y4" s="245" t="s">
        <v>389</v>
      </c>
    </row>
    <row r="5" spans="1:25" ht="52.8" x14ac:dyDescent="0.25">
      <c r="A5" s="242"/>
      <c r="B5" s="242"/>
      <c r="C5" s="36" t="s">
        <v>244</v>
      </c>
      <c r="D5" s="36" t="s">
        <v>246</v>
      </c>
      <c r="E5" s="83" t="s">
        <v>263</v>
      </c>
      <c r="F5" s="36" t="s">
        <v>232</v>
      </c>
      <c r="G5" s="81" t="s">
        <v>245</v>
      </c>
      <c r="H5" s="246"/>
      <c r="I5" s="246"/>
      <c r="J5" s="36" t="s">
        <v>232</v>
      </c>
      <c r="K5" s="81" t="s">
        <v>245</v>
      </c>
      <c r="L5" s="246"/>
      <c r="M5" s="246"/>
      <c r="N5" s="36" t="s">
        <v>232</v>
      </c>
      <c r="O5" s="81" t="s">
        <v>245</v>
      </c>
      <c r="P5" s="247"/>
      <c r="Q5" s="246"/>
      <c r="R5" s="36" t="s">
        <v>232</v>
      </c>
      <c r="S5" s="81" t="s">
        <v>245</v>
      </c>
      <c r="T5" s="247"/>
      <c r="U5" s="246"/>
      <c r="V5" s="168" t="s">
        <v>232</v>
      </c>
      <c r="W5" s="81" t="s">
        <v>245</v>
      </c>
      <c r="X5" s="247"/>
      <c r="Y5" s="246"/>
    </row>
    <row r="6" spans="1:25" x14ac:dyDescent="0.25">
      <c r="A6" s="115">
        <v>1</v>
      </c>
      <c r="B6" s="115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</row>
    <row r="7" spans="1:25" outlineLevel="1" x14ac:dyDescent="0.25">
      <c r="A7" s="30" t="s">
        <v>1</v>
      </c>
      <c r="B7" s="84" t="s">
        <v>106</v>
      </c>
      <c r="C7" s="73">
        <v>1217.0317736555569</v>
      </c>
      <c r="D7" s="73">
        <v>2025.5</v>
      </c>
      <c r="E7" s="73">
        <f>D7-C7</f>
        <v>808.46822634444311</v>
      </c>
      <c r="F7" s="73">
        <v>2879</v>
      </c>
      <c r="G7" s="73">
        <v>2057.25</v>
      </c>
      <c r="H7" s="73">
        <v>2051.5500000000002</v>
      </c>
      <c r="I7" s="73">
        <f>H7-G7</f>
        <v>-5.6999999999998181</v>
      </c>
      <c r="J7" s="72">
        <v>4119.97</v>
      </c>
      <c r="K7" s="72">
        <v>2216.44</v>
      </c>
      <c r="L7" s="72">
        <v>1846.34</v>
      </c>
      <c r="M7" s="73">
        <f>L7-K7</f>
        <v>-370.10000000000014</v>
      </c>
      <c r="N7" s="72">
        <v>4621.03</v>
      </c>
      <c r="O7" s="72">
        <v>2297.41</v>
      </c>
      <c r="P7" s="72">
        <v>968.28</v>
      </c>
      <c r="Q7" s="72">
        <f>P7-O7</f>
        <v>-1329.1299999999999</v>
      </c>
      <c r="R7" s="72">
        <v>3836.46</v>
      </c>
      <c r="S7" s="72">
        <v>3284.31</v>
      </c>
      <c r="T7" s="72">
        <v>1396.73</v>
      </c>
      <c r="U7" s="72">
        <f>T7-S7</f>
        <v>-1887.58</v>
      </c>
      <c r="V7" s="72">
        <v>3279.05</v>
      </c>
      <c r="W7" s="72">
        <v>3440.87</v>
      </c>
      <c r="X7" s="72">
        <v>3638.98</v>
      </c>
      <c r="Y7" s="72">
        <f>X7-W7</f>
        <v>198.11000000000013</v>
      </c>
    </row>
    <row r="8" spans="1:25" outlineLevel="1" x14ac:dyDescent="0.25">
      <c r="A8" s="30" t="s">
        <v>2</v>
      </c>
      <c r="B8" s="84" t="s">
        <v>233</v>
      </c>
      <c r="C8" s="74">
        <v>2069.4876643642392</v>
      </c>
      <c r="D8" s="74">
        <v>1814.3</v>
      </c>
      <c r="E8" s="73">
        <f t="shared" ref="E8:E45" si="0">D8-C8</f>
        <v>-255.18766436423925</v>
      </c>
      <c r="F8" s="73">
        <v>3577</v>
      </c>
      <c r="G8" s="73">
        <v>2154.38</v>
      </c>
      <c r="H8" s="73">
        <v>2271.4499999999998</v>
      </c>
      <c r="I8" s="73">
        <f t="shared" ref="I8:I47" si="1">H8-G8</f>
        <v>117.06999999999971</v>
      </c>
      <c r="J8" s="72">
        <v>5391.1</v>
      </c>
      <c r="K8" s="72">
        <v>2321.08</v>
      </c>
      <c r="L8" s="72">
        <v>3691.38</v>
      </c>
      <c r="M8" s="73">
        <f t="shared" ref="M8:M38" si="2">L8-K8</f>
        <v>1370.3000000000002</v>
      </c>
      <c r="N8" s="72">
        <v>2897.8</v>
      </c>
      <c r="O8" s="72">
        <v>2405.87</v>
      </c>
      <c r="P8" s="72">
        <v>3092.23</v>
      </c>
      <c r="Q8" s="72">
        <f>P8-O8</f>
        <v>686.36000000000013</v>
      </c>
      <c r="R8" s="72">
        <v>7375.51</v>
      </c>
      <c r="S8" s="72">
        <v>3907.19</v>
      </c>
      <c r="T8" s="72">
        <v>3270.65</v>
      </c>
      <c r="U8" s="72">
        <f>T8-S8</f>
        <v>-636.54</v>
      </c>
      <c r="V8" s="72">
        <v>3900.94</v>
      </c>
      <c r="W8" s="72">
        <v>4093.45</v>
      </c>
      <c r="X8" s="72">
        <v>4147.26</v>
      </c>
      <c r="Y8" s="72">
        <f>X8-W8</f>
        <v>53.8100000000004</v>
      </c>
    </row>
    <row r="9" spans="1:25" outlineLevel="1" x14ac:dyDescent="0.25">
      <c r="A9" s="30"/>
      <c r="B9" s="84" t="s">
        <v>107</v>
      </c>
      <c r="C9" s="72"/>
      <c r="D9" s="72"/>
      <c r="E9" s="73">
        <f t="shared" si="0"/>
        <v>0</v>
      </c>
      <c r="F9" s="73"/>
      <c r="G9" s="73"/>
      <c r="H9" s="73"/>
      <c r="I9" s="73">
        <f t="shared" si="1"/>
        <v>0</v>
      </c>
      <c r="J9" s="72"/>
      <c r="K9" s="72"/>
      <c r="L9" s="72"/>
      <c r="M9" s="73">
        <f t="shared" si="2"/>
        <v>0</v>
      </c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</row>
    <row r="10" spans="1:25" outlineLevel="1" x14ac:dyDescent="0.25">
      <c r="A10" s="30" t="s">
        <v>3</v>
      </c>
      <c r="B10" s="84" t="s">
        <v>201</v>
      </c>
      <c r="C10" s="72"/>
      <c r="D10" s="72"/>
      <c r="E10" s="73">
        <f t="shared" si="0"/>
        <v>0</v>
      </c>
      <c r="F10" s="73"/>
      <c r="G10" s="73"/>
      <c r="H10" s="73">
        <v>317.75</v>
      </c>
      <c r="I10" s="73">
        <f t="shared" si="1"/>
        <v>317.75</v>
      </c>
      <c r="J10" s="72">
        <v>1913.4</v>
      </c>
      <c r="K10" s="72"/>
      <c r="L10" s="72">
        <v>1690.28</v>
      </c>
      <c r="M10" s="73">
        <f t="shared" si="2"/>
        <v>1690.28</v>
      </c>
      <c r="N10" s="72"/>
      <c r="O10" s="72"/>
      <c r="P10" s="72">
        <v>757.31</v>
      </c>
      <c r="Q10" s="72">
        <f>P10-O10</f>
        <v>757.31</v>
      </c>
      <c r="R10" s="72">
        <v>1050</v>
      </c>
      <c r="S10" s="72">
        <v>495.07</v>
      </c>
      <c r="T10" s="72">
        <v>123.43</v>
      </c>
      <c r="U10" s="72">
        <f>T10-S10</f>
        <v>-371.64</v>
      </c>
      <c r="V10" s="72">
        <v>494.27</v>
      </c>
      <c r="W10" s="72">
        <v>518.66999999999996</v>
      </c>
      <c r="X10" s="72">
        <v>2733.71</v>
      </c>
      <c r="Y10" s="72">
        <f>X10-W10</f>
        <v>2215.04</v>
      </c>
    </row>
    <row r="11" spans="1:25" outlineLevel="1" x14ac:dyDescent="0.25">
      <c r="A11" s="30"/>
      <c r="B11" s="84" t="s">
        <v>107</v>
      </c>
      <c r="C11" s="72"/>
      <c r="D11" s="72"/>
      <c r="E11" s="73">
        <f t="shared" si="0"/>
        <v>0</v>
      </c>
      <c r="F11" s="73"/>
      <c r="G11" s="73"/>
      <c r="H11" s="73">
        <v>223.53</v>
      </c>
      <c r="I11" s="73">
        <f t="shared" si="1"/>
        <v>223.53</v>
      </c>
      <c r="J11" s="72"/>
      <c r="K11" s="72"/>
      <c r="L11" s="72"/>
      <c r="M11" s="73">
        <f t="shared" si="2"/>
        <v>0</v>
      </c>
      <c r="N11" s="72"/>
      <c r="O11" s="72"/>
      <c r="P11" s="72">
        <v>140.97</v>
      </c>
      <c r="Q11" s="72"/>
      <c r="R11" s="72"/>
      <c r="S11" s="72"/>
      <c r="T11" s="72"/>
      <c r="U11" s="72">
        <f>T11-S11</f>
        <v>0</v>
      </c>
      <c r="V11" s="72"/>
      <c r="W11" s="72"/>
      <c r="X11" s="72"/>
      <c r="Y11" s="72">
        <f>X11-W11</f>
        <v>0</v>
      </c>
    </row>
    <row r="12" spans="1:25" outlineLevel="1" x14ac:dyDescent="0.25">
      <c r="A12" s="30" t="s">
        <v>88</v>
      </c>
      <c r="B12" s="84" t="s">
        <v>108</v>
      </c>
      <c r="C12" s="74"/>
      <c r="D12" s="74"/>
      <c r="E12" s="73">
        <f t="shared" si="0"/>
        <v>0</v>
      </c>
      <c r="F12" s="73"/>
      <c r="G12" s="73"/>
      <c r="H12" s="73"/>
      <c r="I12" s="73">
        <f t="shared" si="1"/>
        <v>0</v>
      </c>
      <c r="J12" s="72"/>
      <c r="K12" s="72"/>
      <c r="L12" s="72"/>
      <c r="M12" s="73">
        <f t="shared" si="2"/>
        <v>0</v>
      </c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</row>
    <row r="13" spans="1:25" outlineLevel="1" x14ac:dyDescent="0.25">
      <c r="A13" s="30" t="s">
        <v>92</v>
      </c>
      <c r="B13" s="84" t="s">
        <v>109</v>
      </c>
      <c r="C13" s="73">
        <v>95.640749849999992</v>
      </c>
      <c r="D13" s="73">
        <f>D15</f>
        <v>45.5</v>
      </c>
      <c r="E13" s="73">
        <f t="shared" si="0"/>
        <v>-50.140749849999992</v>
      </c>
      <c r="F13" s="73">
        <v>890</v>
      </c>
      <c r="G13" s="73">
        <v>136.43</v>
      </c>
      <c r="H13" s="73">
        <v>180.35</v>
      </c>
      <c r="I13" s="73">
        <f t="shared" si="1"/>
        <v>43.919999999999987</v>
      </c>
      <c r="J13" s="72">
        <v>205.5</v>
      </c>
      <c r="K13" s="72">
        <v>203.25</v>
      </c>
      <c r="L13" s="72">
        <f>L14+L15</f>
        <v>229.07999999999998</v>
      </c>
      <c r="M13" s="73">
        <f t="shared" si="2"/>
        <v>25.829999999999984</v>
      </c>
      <c r="N13" s="72">
        <v>283.10000000000002</v>
      </c>
      <c r="O13" s="72">
        <v>266.01</v>
      </c>
      <c r="P13" s="72">
        <v>227.33</v>
      </c>
      <c r="Q13" s="72">
        <f>P13-O13</f>
        <v>-38.679999999999978</v>
      </c>
      <c r="R13" s="72">
        <v>309.14</v>
      </c>
      <c r="S13" s="72">
        <f>S14+S15</f>
        <v>254.20000000000002</v>
      </c>
      <c r="T13" s="72">
        <v>242.24</v>
      </c>
      <c r="U13" s="72">
        <f>T13-S13</f>
        <v>-11.960000000000008</v>
      </c>
      <c r="V13" s="72">
        <f>V14+V15</f>
        <v>265.82</v>
      </c>
      <c r="W13" s="72">
        <f>W14+W15</f>
        <v>280.06</v>
      </c>
      <c r="X13" s="73">
        <f>X14+X15</f>
        <v>285.77</v>
      </c>
      <c r="Y13" s="72">
        <f>X13-W13</f>
        <v>5.7099999999999795</v>
      </c>
    </row>
    <row r="14" spans="1:25" outlineLevel="1" x14ac:dyDescent="0.25">
      <c r="A14" s="30" t="s">
        <v>110</v>
      </c>
      <c r="B14" s="84" t="s">
        <v>111</v>
      </c>
      <c r="C14" s="73">
        <v>0</v>
      </c>
      <c r="D14" s="73">
        <v>0</v>
      </c>
      <c r="E14" s="73">
        <f t="shared" si="0"/>
        <v>0</v>
      </c>
      <c r="F14" s="73">
        <v>762</v>
      </c>
      <c r="G14" s="73">
        <v>0</v>
      </c>
      <c r="H14" s="73"/>
      <c r="I14" s="73">
        <f t="shared" si="1"/>
        <v>0</v>
      </c>
      <c r="J14" s="72"/>
      <c r="K14" s="72"/>
      <c r="L14" s="72">
        <v>37.01</v>
      </c>
      <c r="M14" s="73">
        <f t="shared" si="2"/>
        <v>37.01</v>
      </c>
      <c r="N14" s="72">
        <v>64.2</v>
      </c>
      <c r="O14" s="72">
        <v>64.2</v>
      </c>
      <c r="P14" s="72">
        <v>46.56</v>
      </c>
      <c r="Q14" s="72">
        <f>P14-O14</f>
        <v>-17.64</v>
      </c>
      <c r="R14" s="72">
        <v>64.2</v>
      </c>
      <c r="S14" s="72">
        <v>50.09</v>
      </c>
      <c r="T14" s="72">
        <v>44.7</v>
      </c>
      <c r="U14" s="72">
        <f>T14-S14</f>
        <v>-5.3900000000000006</v>
      </c>
      <c r="V14" s="72">
        <v>53.55</v>
      </c>
      <c r="W14" s="72">
        <v>51.22</v>
      </c>
      <c r="X14" s="72">
        <v>45.1</v>
      </c>
      <c r="Y14" s="72">
        <f>X14-W14</f>
        <v>-6.1199999999999974</v>
      </c>
    </row>
    <row r="15" spans="1:25" outlineLevel="1" x14ac:dyDescent="0.25">
      <c r="A15" s="30" t="s">
        <v>112</v>
      </c>
      <c r="B15" s="84" t="s">
        <v>113</v>
      </c>
      <c r="C15" s="73">
        <v>95.640749849999992</v>
      </c>
      <c r="D15" s="73">
        <v>45.5</v>
      </c>
      <c r="E15" s="73">
        <f t="shared" si="0"/>
        <v>-50.140749849999992</v>
      </c>
      <c r="F15" s="73">
        <v>128</v>
      </c>
      <c r="G15" s="73">
        <v>136.43</v>
      </c>
      <c r="H15" s="73">
        <v>180.35</v>
      </c>
      <c r="I15" s="73">
        <f t="shared" si="1"/>
        <v>43.919999999999987</v>
      </c>
      <c r="J15" s="72">
        <v>205.5</v>
      </c>
      <c r="K15" s="72">
        <v>203.25</v>
      </c>
      <c r="L15" s="72">
        <v>192.07</v>
      </c>
      <c r="M15" s="73">
        <f t="shared" si="2"/>
        <v>-11.180000000000007</v>
      </c>
      <c r="N15" s="72">
        <v>218.9</v>
      </c>
      <c r="O15" s="72">
        <v>201.81</v>
      </c>
      <c r="P15" s="72">
        <v>180.76</v>
      </c>
      <c r="Q15" s="72">
        <f>P15-O15</f>
        <v>-21.050000000000011</v>
      </c>
      <c r="R15" s="72">
        <v>244.94</v>
      </c>
      <c r="S15" s="72">
        <v>204.11</v>
      </c>
      <c r="T15" s="72">
        <v>197.54</v>
      </c>
      <c r="U15" s="72">
        <f>T15-S15</f>
        <v>-6.5700000000000216</v>
      </c>
      <c r="V15" s="72">
        <v>212.27</v>
      </c>
      <c r="W15" s="72">
        <v>228.84</v>
      </c>
      <c r="X15" s="72">
        <v>240.67</v>
      </c>
      <c r="Y15" s="72">
        <f>X15-W15</f>
        <v>11.829999999999984</v>
      </c>
    </row>
    <row r="16" spans="1:25" outlineLevel="1" x14ac:dyDescent="0.25">
      <c r="A16" s="30" t="s">
        <v>94</v>
      </c>
      <c r="B16" s="84" t="s">
        <v>114</v>
      </c>
      <c r="C16" s="74">
        <v>14583.946915963425</v>
      </c>
      <c r="D16" s="74">
        <v>16983</v>
      </c>
      <c r="E16" s="73">
        <f t="shared" si="0"/>
        <v>2399.0530840365755</v>
      </c>
      <c r="F16" s="73">
        <v>82557</v>
      </c>
      <c r="G16" s="73">
        <v>28088.3</v>
      </c>
      <c r="H16" s="73">
        <v>27380.42</v>
      </c>
      <c r="I16" s="73">
        <f t="shared" si="1"/>
        <v>-707.88000000000102</v>
      </c>
      <c r="J16" s="72">
        <v>82157.05</v>
      </c>
      <c r="K16" s="72">
        <v>30261.72</v>
      </c>
      <c r="L16" s="72">
        <v>32665.73</v>
      </c>
      <c r="M16" s="73">
        <f t="shared" si="2"/>
        <v>2404.0099999999984</v>
      </c>
      <c r="N16" s="72">
        <v>32781.269999999997</v>
      </c>
      <c r="O16" s="72">
        <v>31367.18</v>
      </c>
      <c r="P16" s="72">
        <v>31067.59</v>
      </c>
      <c r="Q16" s="72">
        <f>P16-O16</f>
        <v>-299.59000000000015</v>
      </c>
      <c r="R16" s="72">
        <v>89586.92</v>
      </c>
      <c r="S16" s="72">
        <v>43324.76</v>
      </c>
      <c r="T16" s="72">
        <v>40980.519999999997</v>
      </c>
      <c r="U16" s="72">
        <f>T16-S16</f>
        <v>-2344.2400000000052</v>
      </c>
      <c r="V16" s="72">
        <v>66902.55</v>
      </c>
      <c r="W16" s="72">
        <v>45390.03</v>
      </c>
      <c r="X16" s="72">
        <v>46043.78</v>
      </c>
      <c r="Y16" s="72">
        <f>X16-W16</f>
        <v>653.75</v>
      </c>
    </row>
    <row r="17" spans="1:25" outlineLevel="1" x14ac:dyDescent="0.25">
      <c r="A17" s="30"/>
      <c r="B17" s="84" t="s">
        <v>107</v>
      </c>
      <c r="C17" s="72"/>
      <c r="D17" s="72"/>
      <c r="E17" s="73">
        <f t="shared" si="0"/>
        <v>0</v>
      </c>
      <c r="F17" s="73"/>
      <c r="G17" s="73"/>
      <c r="H17" s="73"/>
      <c r="I17" s="73">
        <f t="shared" si="1"/>
        <v>0</v>
      </c>
      <c r="J17" s="72"/>
      <c r="K17" s="72"/>
      <c r="L17" s="72"/>
      <c r="M17" s="73">
        <f t="shared" si="2"/>
        <v>0</v>
      </c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</row>
    <row r="18" spans="1:25" outlineLevel="1" x14ac:dyDescent="0.25">
      <c r="A18" s="30" t="s">
        <v>4</v>
      </c>
      <c r="B18" s="85" t="s">
        <v>115</v>
      </c>
      <c r="C18" s="73">
        <v>4433.5198624528812</v>
      </c>
      <c r="D18" s="73">
        <v>4902</v>
      </c>
      <c r="E18" s="73">
        <f t="shared" si="0"/>
        <v>468.48013754711883</v>
      </c>
      <c r="F18" s="73">
        <v>25097</v>
      </c>
      <c r="G18" s="73">
        <v>8538.84</v>
      </c>
      <c r="H18" s="73">
        <v>7794</v>
      </c>
      <c r="I18" s="73">
        <f t="shared" si="1"/>
        <v>-744.84000000000015</v>
      </c>
      <c r="J18" s="72">
        <v>24714.91</v>
      </c>
      <c r="K18" s="72">
        <v>9199.56</v>
      </c>
      <c r="L18" s="72">
        <v>9289.61</v>
      </c>
      <c r="M18" s="73">
        <f t="shared" si="2"/>
        <v>90.050000000001091</v>
      </c>
      <c r="N18" s="72">
        <v>9907.93</v>
      </c>
      <c r="O18" s="72">
        <v>9535.6200000000008</v>
      </c>
      <c r="P18" s="72">
        <v>9444.5499999999993</v>
      </c>
      <c r="Q18" s="72">
        <f>P18-O18</f>
        <v>-91.070000000001528</v>
      </c>
      <c r="R18" s="72">
        <v>27234.43</v>
      </c>
      <c r="S18" s="72">
        <v>13170.73</v>
      </c>
      <c r="T18" s="72">
        <v>11925.51</v>
      </c>
      <c r="U18" s="72">
        <f>T18-S18</f>
        <v>-1245.2199999999993</v>
      </c>
      <c r="V18" s="72">
        <v>20338.38</v>
      </c>
      <c r="W18" s="72">
        <v>13798.57</v>
      </c>
      <c r="X18" s="72">
        <v>13445.43</v>
      </c>
      <c r="Y18" s="72">
        <f>X18-W18</f>
        <v>-353.13999999999942</v>
      </c>
    </row>
    <row r="19" spans="1:25" outlineLevel="1" x14ac:dyDescent="0.25">
      <c r="A19" s="30"/>
      <c r="B19" s="84" t="s">
        <v>107</v>
      </c>
      <c r="C19" s="72"/>
      <c r="D19" s="72"/>
      <c r="E19" s="73">
        <f t="shared" si="0"/>
        <v>0</v>
      </c>
      <c r="F19" s="73"/>
      <c r="G19" s="73"/>
      <c r="H19" s="73"/>
      <c r="I19" s="73">
        <f t="shared" si="1"/>
        <v>0</v>
      </c>
      <c r="J19" s="72"/>
      <c r="K19" s="72"/>
      <c r="L19" s="72"/>
      <c r="M19" s="73">
        <f t="shared" si="2"/>
        <v>0</v>
      </c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</row>
    <row r="20" spans="1:25" outlineLevel="1" x14ac:dyDescent="0.25">
      <c r="A20" s="30" t="s">
        <v>95</v>
      </c>
      <c r="B20" s="86" t="s">
        <v>116</v>
      </c>
      <c r="C20" s="73">
        <v>1227.89960811525</v>
      </c>
      <c r="D20" s="73">
        <v>2050</v>
      </c>
      <c r="E20" s="73">
        <f t="shared" si="0"/>
        <v>822.10039188475002</v>
      </c>
      <c r="F20" s="73">
        <v>10947.46</v>
      </c>
      <c r="G20" s="73">
        <v>10947.46</v>
      </c>
      <c r="H20" s="73">
        <v>4680</v>
      </c>
      <c r="I20" s="73">
        <f t="shared" si="1"/>
        <v>-6267.4599999999991</v>
      </c>
      <c r="J20" s="72">
        <v>14010.6</v>
      </c>
      <c r="K20" s="72">
        <v>10947.46</v>
      </c>
      <c r="L20" s="72">
        <v>5891.47</v>
      </c>
      <c r="M20" s="73">
        <f t="shared" si="2"/>
        <v>-5055.9899999999989</v>
      </c>
      <c r="N20" s="72">
        <v>10947.46</v>
      </c>
      <c r="O20" s="72">
        <v>10947.46</v>
      </c>
      <c r="P20" s="72">
        <v>787.46</v>
      </c>
      <c r="Q20" s="72">
        <f>P20-O20</f>
        <v>-10160</v>
      </c>
      <c r="R20" s="72">
        <v>5891.47</v>
      </c>
      <c r="S20" s="72">
        <v>5891.47</v>
      </c>
      <c r="T20" s="72">
        <v>5884.69</v>
      </c>
      <c r="U20" s="72">
        <f>T20-S20</f>
        <v>-6.7800000000006548</v>
      </c>
      <c r="V20" s="72">
        <v>5891.47</v>
      </c>
      <c r="W20" s="72">
        <v>5891.47</v>
      </c>
      <c r="X20" s="72">
        <v>5973</v>
      </c>
      <c r="Y20" s="72">
        <f>X20-W20</f>
        <v>81.529999999999745</v>
      </c>
    </row>
    <row r="21" spans="1:25" outlineLevel="1" x14ac:dyDescent="0.25">
      <c r="A21" s="30" t="s">
        <v>96</v>
      </c>
      <c r="B21" s="84" t="s">
        <v>117</v>
      </c>
      <c r="C21" s="73">
        <v>7121.6024185763981</v>
      </c>
      <c r="D21" s="73">
        <f>D22+D23+D25+D28+D32</f>
        <v>10344.08</v>
      </c>
      <c r="E21" s="73">
        <f t="shared" si="0"/>
        <v>3222.4775814236018</v>
      </c>
      <c r="F21" s="73">
        <v>20062</v>
      </c>
      <c r="G21" s="73">
        <v>10126.57</v>
      </c>
      <c r="H21" s="73">
        <v>13834.98</v>
      </c>
      <c r="I21" s="73">
        <f t="shared" si="1"/>
        <v>3708.41</v>
      </c>
      <c r="J21" s="72">
        <v>22011.11</v>
      </c>
      <c r="K21" s="72">
        <v>14787.16</v>
      </c>
      <c r="L21" s="72">
        <f>L23+L24+L25+L28+L32</f>
        <v>14845.660000000002</v>
      </c>
      <c r="M21" s="73">
        <f t="shared" si="2"/>
        <v>58.500000000001819</v>
      </c>
      <c r="N21" s="72">
        <v>20353.490000000002</v>
      </c>
      <c r="O21" s="72">
        <v>14822.81</v>
      </c>
      <c r="P21" s="72">
        <v>16084.07</v>
      </c>
      <c r="Q21" s="72">
        <f>P21-O21</f>
        <v>1261.2600000000002</v>
      </c>
      <c r="R21" s="72">
        <f>R23+R24+R25+R28+R32+R34</f>
        <v>17201.399999999998</v>
      </c>
      <c r="S21" s="72">
        <f>S23+S24+S25+S28+S32+S34</f>
        <v>15830.99</v>
      </c>
      <c r="T21" s="72">
        <f>T23+T24+T25+T28+T32+T34</f>
        <v>16720.490000000002</v>
      </c>
      <c r="U21" s="72">
        <f>T21-S21</f>
        <v>889.50000000000182</v>
      </c>
      <c r="V21" s="72">
        <f>V23+V24+V25+V28+V32+V34</f>
        <v>16959.32</v>
      </c>
      <c r="W21" s="72">
        <f>W23+W24+W25+W28+W32+W34</f>
        <v>17665.89</v>
      </c>
      <c r="X21" s="73">
        <f>X23+X24+X25+X28+X32+X34</f>
        <v>17602.32</v>
      </c>
      <c r="Y21" s="72">
        <f>X21-W21</f>
        <v>-63.569999999999709</v>
      </c>
    </row>
    <row r="22" spans="1:25" ht="26.4" outlineLevel="1" x14ac:dyDescent="0.25">
      <c r="A22" s="87" t="s">
        <v>118</v>
      </c>
      <c r="B22" s="88" t="s">
        <v>266</v>
      </c>
      <c r="C22" s="74">
        <v>550</v>
      </c>
      <c r="D22" s="74">
        <v>550</v>
      </c>
      <c r="E22" s="73">
        <f t="shared" si="0"/>
        <v>0</v>
      </c>
      <c r="F22" s="73">
        <v>0</v>
      </c>
      <c r="G22" s="73">
        <v>0</v>
      </c>
      <c r="H22" s="73">
        <v>355.9</v>
      </c>
      <c r="I22" s="73">
        <f t="shared" si="1"/>
        <v>355.9</v>
      </c>
      <c r="J22" s="72">
        <v>420</v>
      </c>
      <c r="K22" s="72"/>
      <c r="L22" s="72"/>
      <c r="M22" s="73">
        <f t="shared" si="2"/>
        <v>0</v>
      </c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</row>
    <row r="23" spans="1:25" outlineLevel="1" x14ac:dyDescent="0.25">
      <c r="A23" s="30" t="s">
        <v>119</v>
      </c>
      <c r="B23" s="84" t="s">
        <v>234</v>
      </c>
      <c r="C23" s="73">
        <v>37.9</v>
      </c>
      <c r="D23" s="73">
        <v>43.8</v>
      </c>
      <c r="E23" s="73">
        <f t="shared" si="0"/>
        <v>5.8999999999999986</v>
      </c>
      <c r="F23" s="73">
        <v>40</v>
      </c>
      <c r="G23" s="73">
        <v>40</v>
      </c>
      <c r="H23" s="73">
        <v>51.6</v>
      </c>
      <c r="I23" s="73">
        <f t="shared" si="1"/>
        <v>11.600000000000001</v>
      </c>
      <c r="J23" s="72">
        <v>57.5</v>
      </c>
      <c r="K23" s="72"/>
      <c r="L23" s="72"/>
      <c r="M23" s="73">
        <f t="shared" si="2"/>
        <v>0</v>
      </c>
      <c r="N23" s="72">
        <v>58.1</v>
      </c>
      <c r="O23" s="72">
        <v>44.7</v>
      </c>
      <c r="P23" s="72">
        <v>54.8</v>
      </c>
      <c r="Q23" s="72">
        <f>P23-O23</f>
        <v>10.099999999999994</v>
      </c>
      <c r="R23" s="72">
        <v>56.39</v>
      </c>
      <c r="S23" s="72">
        <v>52.41</v>
      </c>
      <c r="T23" s="72">
        <v>59.37</v>
      </c>
      <c r="U23" s="72">
        <f>T23-S23</f>
        <v>6.9600000000000009</v>
      </c>
      <c r="V23" s="72">
        <v>52.33</v>
      </c>
      <c r="W23" s="72">
        <v>54.91</v>
      </c>
      <c r="X23" s="72">
        <v>57.44</v>
      </c>
      <c r="Y23" s="72">
        <f>X23-W23</f>
        <v>2.5300000000000011</v>
      </c>
    </row>
    <row r="24" spans="1:25" ht="16.2" customHeight="1" outlineLevel="1" x14ac:dyDescent="0.25">
      <c r="A24" s="30" t="s">
        <v>120</v>
      </c>
      <c r="B24" s="84" t="s">
        <v>121</v>
      </c>
      <c r="C24" s="75"/>
      <c r="D24" s="72">
        <v>0</v>
      </c>
      <c r="E24" s="73">
        <f t="shared" si="0"/>
        <v>0</v>
      </c>
      <c r="F24" s="73">
        <v>6</v>
      </c>
      <c r="G24" s="73">
        <v>0</v>
      </c>
      <c r="H24" s="73">
        <v>33.1</v>
      </c>
      <c r="I24" s="73">
        <f t="shared" si="1"/>
        <v>33.1</v>
      </c>
      <c r="J24" s="72">
        <v>33.1</v>
      </c>
      <c r="K24" s="72"/>
      <c r="L24" s="72"/>
      <c r="M24" s="73">
        <f t="shared" si="2"/>
        <v>0</v>
      </c>
      <c r="N24" s="72">
        <v>19.100000000000001</v>
      </c>
      <c r="O24" s="72">
        <v>19.100000000000001</v>
      </c>
      <c r="P24" s="72">
        <v>19.43</v>
      </c>
      <c r="Q24" s="72">
        <f>P24-O24</f>
        <v>0.32999999999999829</v>
      </c>
      <c r="R24" s="72">
        <v>20</v>
      </c>
      <c r="S24" s="72">
        <v>18.63</v>
      </c>
      <c r="T24" s="72">
        <v>9.3000000000000007</v>
      </c>
      <c r="U24" s="72">
        <f>T24-S24</f>
        <v>-9.3299999999999983</v>
      </c>
      <c r="V24" s="72">
        <v>19.38</v>
      </c>
      <c r="W24" s="72">
        <v>19.38</v>
      </c>
      <c r="X24" s="72">
        <v>5.95</v>
      </c>
      <c r="Y24" s="72">
        <f>X24-W24</f>
        <v>-13.43</v>
      </c>
    </row>
    <row r="25" spans="1:25" ht="103.05" customHeight="1" x14ac:dyDescent="0.25">
      <c r="A25" s="87" t="s">
        <v>235</v>
      </c>
      <c r="B25" s="84" t="s">
        <v>236</v>
      </c>
      <c r="C25" s="73">
        <v>5267.95</v>
      </c>
      <c r="D25" s="73">
        <v>5351.88</v>
      </c>
      <c r="E25" s="73">
        <f t="shared" si="0"/>
        <v>83.930000000000291</v>
      </c>
      <c r="F25" s="73">
        <v>9111</v>
      </c>
      <c r="G25" s="73">
        <v>5528.72</v>
      </c>
      <c r="H25" s="73">
        <v>9074.0499999999993</v>
      </c>
      <c r="I25" s="73">
        <f t="shared" si="1"/>
        <v>3545.329999999999</v>
      </c>
      <c r="J25" s="72">
        <v>13095.1</v>
      </c>
      <c r="K25" s="72">
        <v>9557.8700000000008</v>
      </c>
      <c r="L25" s="72">
        <v>9197.2800000000007</v>
      </c>
      <c r="M25" s="73">
        <f t="shared" si="2"/>
        <v>-360.59000000000015</v>
      </c>
      <c r="N25" s="72">
        <v>13144.83</v>
      </c>
      <c r="O25" s="72">
        <v>9531.93</v>
      </c>
      <c r="P25" s="72">
        <v>10583.75</v>
      </c>
      <c r="Q25" s="72">
        <f>P25-O25</f>
        <v>1051.8199999999997</v>
      </c>
      <c r="R25" s="72">
        <v>8765.6299999999992</v>
      </c>
      <c r="S25" s="72">
        <v>8878.5499999999993</v>
      </c>
      <c r="T25" s="72">
        <v>9943.2800000000007</v>
      </c>
      <c r="U25" s="72">
        <f>T25-S25</f>
        <v>1064.7300000000014</v>
      </c>
      <c r="V25" s="72">
        <v>10008.85</v>
      </c>
      <c r="W25" s="72">
        <v>10669.59</v>
      </c>
      <c r="X25" s="72">
        <v>10470.9</v>
      </c>
      <c r="Y25" s="72">
        <f>X25-W25</f>
        <v>-198.69000000000051</v>
      </c>
    </row>
    <row r="26" spans="1:25" ht="26.4" outlineLevel="1" x14ac:dyDescent="0.25">
      <c r="A26" s="30" t="s">
        <v>237</v>
      </c>
      <c r="B26" s="84" t="s">
        <v>238</v>
      </c>
      <c r="C26" s="75"/>
      <c r="D26" s="75"/>
      <c r="E26" s="73">
        <f t="shared" si="0"/>
        <v>0</v>
      </c>
      <c r="F26" s="73"/>
      <c r="G26" s="73"/>
      <c r="H26" s="73"/>
      <c r="I26" s="73">
        <f t="shared" si="1"/>
        <v>0</v>
      </c>
      <c r="J26" s="72"/>
      <c r="K26" s="72"/>
      <c r="L26" s="72"/>
      <c r="M26" s="73">
        <f t="shared" si="2"/>
        <v>0</v>
      </c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</row>
    <row r="27" spans="1:25" outlineLevel="1" x14ac:dyDescent="0.25">
      <c r="A27" s="30" t="s">
        <v>239</v>
      </c>
      <c r="B27" s="84" t="s">
        <v>240</v>
      </c>
      <c r="C27" s="73"/>
      <c r="D27" s="73"/>
      <c r="E27" s="73">
        <f t="shared" si="0"/>
        <v>0</v>
      </c>
      <c r="F27" s="73"/>
      <c r="G27" s="73"/>
      <c r="H27" s="73"/>
      <c r="I27" s="73">
        <f t="shared" si="1"/>
        <v>0</v>
      </c>
      <c r="J27" s="72"/>
      <c r="K27" s="72"/>
      <c r="L27" s="72"/>
      <c r="M27" s="73">
        <f t="shared" si="2"/>
        <v>0</v>
      </c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</row>
    <row r="28" spans="1:25" ht="26.4" outlineLevel="1" x14ac:dyDescent="0.25">
      <c r="A28" s="30" t="s">
        <v>122</v>
      </c>
      <c r="B28" s="84" t="s">
        <v>123</v>
      </c>
      <c r="C28" s="73">
        <v>314.2094675925</v>
      </c>
      <c r="D28" s="73">
        <v>821.9</v>
      </c>
      <c r="E28" s="73">
        <f t="shared" si="0"/>
        <v>507.69053240749997</v>
      </c>
      <c r="F28" s="73">
        <v>6354</v>
      </c>
      <c r="G28" s="73">
        <v>3034.88</v>
      </c>
      <c r="H28" s="73">
        <v>1926.26</v>
      </c>
      <c r="I28" s="73">
        <f t="shared" si="1"/>
        <v>-1108.6200000000001</v>
      </c>
      <c r="J28" s="72">
        <v>3676.2</v>
      </c>
      <c r="K28" s="72">
        <v>3526.28</v>
      </c>
      <c r="L28" s="72">
        <v>2914.3</v>
      </c>
      <c r="M28" s="73">
        <f t="shared" si="2"/>
        <v>-611.98</v>
      </c>
      <c r="N28" s="72">
        <v>3526.33</v>
      </c>
      <c r="O28" s="72">
        <v>3526.33</v>
      </c>
      <c r="P28" s="72">
        <v>2824.57</v>
      </c>
      <c r="Q28" s="72">
        <f>P28-O28</f>
        <v>-701.75999999999976</v>
      </c>
      <c r="R28" s="72">
        <f>R30+R31</f>
        <v>2914.33</v>
      </c>
      <c r="S28" s="72">
        <f>S30+S31</f>
        <v>2914.33</v>
      </c>
      <c r="T28" s="72">
        <v>2706.88</v>
      </c>
      <c r="U28" s="72">
        <f>T28-S28</f>
        <v>-207.44999999999982</v>
      </c>
      <c r="V28" s="72">
        <f>V30+V31</f>
        <v>2916.2000000000003</v>
      </c>
      <c r="W28" s="73">
        <f>W30+W31</f>
        <v>2820.8</v>
      </c>
      <c r="X28" s="73">
        <f>X30+X31</f>
        <v>2598.34</v>
      </c>
      <c r="Y28" s="72">
        <f>X28-W28</f>
        <v>-222.46000000000004</v>
      </c>
    </row>
    <row r="29" spans="1:25" outlineLevel="1" x14ac:dyDescent="0.25">
      <c r="A29" s="30" t="s">
        <v>124</v>
      </c>
      <c r="B29" s="84" t="s">
        <v>125</v>
      </c>
      <c r="C29" s="72"/>
      <c r="D29" s="72"/>
      <c r="E29" s="73">
        <f t="shared" si="0"/>
        <v>0</v>
      </c>
      <c r="F29" s="73"/>
      <c r="G29" s="73"/>
      <c r="H29" s="73"/>
      <c r="I29" s="73">
        <f t="shared" si="1"/>
        <v>0</v>
      </c>
      <c r="J29" s="72"/>
      <c r="K29" s="72"/>
      <c r="L29" s="72"/>
      <c r="M29" s="73">
        <f t="shared" si="2"/>
        <v>0</v>
      </c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</row>
    <row r="30" spans="1:25" outlineLevel="1" x14ac:dyDescent="0.25">
      <c r="A30" s="30" t="s">
        <v>126</v>
      </c>
      <c r="B30" s="84" t="s">
        <v>127</v>
      </c>
      <c r="C30" s="73">
        <v>27.910499999999999</v>
      </c>
      <c r="D30" s="73">
        <v>32</v>
      </c>
      <c r="E30" s="73">
        <f t="shared" si="0"/>
        <v>4.089500000000001</v>
      </c>
      <c r="F30" s="73">
        <v>42</v>
      </c>
      <c r="G30" s="73">
        <v>39.71</v>
      </c>
      <c r="H30" s="73">
        <v>44.93</v>
      </c>
      <c r="I30" s="73">
        <f t="shared" si="1"/>
        <v>5.2199999999999989</v>
      </c>
      <c r="J30" s="72">
        <v>45.54</v>
      </c>
      <c r="K30" s="72">
        <v>45.55</v>
      </c>
      <c r="L30" s="72">
        <v>46.9</v>
      </c>
      <c r="M30" s="73">
        <f t="shared" si="2"/>
        <v>1.3500000000000014</v>
      </c>
      <c r="N30" s="72">
        <v>45.6</v>
      </c>
      <c r="O30" s="72">
        <v>45.6</v>
      </c>
      <c r="P30" s="72">
        <v>52.57</v>
      </c>
      <c r="Q30" s="72">
        <f t="shared" ref="Q30:Q37" si="3">P30-O30</f>
        <v>6.9699999999999989</v>
      </c>
      <c r="R30" s="72">
        <v>46.93</v>
      </c>
      <c r="S30" s="72">
        <v>46.93</v>
      </c>
      <c r="T30" s="72">
        <v>52.91</v>
      </c>
      <c r="U30" s="72">
        <f t="shared" ref="U30:U35" si="4">T30-S30</f>
        <v>5.9799999999999969</v>
      </c>
      <c r="V30" s="72">
        <v>48.8</v>
      </c>
      <c r="W30" s="72">
        <v>48.8</v>
      </c>
      <c r="X30" s="72">
        <v>47.34</v>
      </c>
      <c r="Y30" s="72">
        <f t="shared" ref="Y30:Y35" si="5">X30-W30</f>
        <v>-1.4599999999999937</v>
      </c>
    </row>
    <row r="31" spans="1:25" outlineLevel="1" x14ac:dyDescent="0.25">
      <c r="A31" s="30" t="s">
        <v>128</v>
      </c>
      <c r="B31" s="84" t="s">
        <v>129</v>
      </c>
      <c r="C31" s="73">
        <v>286.29896759249999</v>
      </c>
      <c r="D31" s="73">
        <v>789.9</v>
      </c>
      <c r="E31" s="73">
        <f t="shared" si="0"/>
        <v>503.60103240749999</v>
      </c>
      <c r="F31" s="73">
        <v>6312</v>
      </c>
      <c r="G31" s="73">
        <v>2995.17</v>
      </c>
      <c r="H31" s="73">
        <v>1881.33</v>
      </c>
      <c r="I31" s="73">
        <f t="shared" si="1"/>
        <v>-1113.8400000000001</v>
      </c>
      <c r="J31" s="72">
        <v>3630.66</v>
      </c>
      <c r="K31" s="72">
        <v>3480.73</v>
      </c>
      <c r="L31" s="72">
        <v>2867.4</v>
      </c>
      <c r="M31" s="73">
        <f t="shared" si="2"/>
        <v>-613.32999999999993</v>
      </c>
      <c r="N31" s="72">
        <v>3480.73</v>
      </c>
      <c r="O31" s="72">
        <v>3480.73</v>
      </c>
      <c r="P31" s="74">
        <v>2772</v>
      </c>
      <c r="Q31" s="72">
        <f t="shared" si="3"/>
        <v>-708.73</v>
      </c>
      <c r="R31" s="72">
        <v>2867.4</v>
      </c>
      <c r="S31" s="72">
        <v>2867.4</v>
      </c>
      <c r="T31" s="74">
        <v>2653.97</v>
      </c>
      <c r="U31" s="72">
        <f t="shared" si="4"/>
        <v>-213.43000000000029</v>
      </c>
      <c r="V31" s="72">
        <v>2867.4</v>
      </c>
      <c r="W31" s="74">
        <v>2772</v>
      </c>
      <c r="X31" s="74">
        <v>2551</v>
      </c>
      <c r="Y31" s="72">
        <f t="shared" si="5"/>
        <v>-221</v>
      </c>
    </row>
    <row r="32" spans="1:25" ht="26.4" outlineLevel="1" x14ac:dyDescent="0.25">
      <c r="A32" s="30" t="s">
        <v>130</v>
      </c>
      <c r="B32" s="84" t="s">
        <v>241</v>
      </c>
      <c r="C32" s="74">
        <v>951.54295098389855</v>
      </c>
      <c r="D32" s="73">
        <v>3576.5</v>
      </c>
      <c r="E32" s="73">
        <f t="shared" si="0"/>
        <v>2624.9570490161013</v>
      </c>
      <c r="F32" s="73">
        <v>4551</v>
      </c>
      <c r="G32" s="73">
        <v>1522.97</v>
      </c>
      <c r="H32" s="73">
        <v>2394.04</v>
      </c>
      <c r="I32" s="73">
        <f t="shared" si="1"/>
        <v>871.06999999999994</v>
      </c>
      <c r="J32" s="72">
        <v>4742.28</v>
      </c>
      <c r="K32" s="72">
        <v>1703.01</v>
      </c>
      <c r="L32" s="72">
        <v>2734.08</v>
      </c>
      <c r="M32" s="73">
        <f t="shared" si="2"/>
        <v>1031.07</v>
      </c>
      <c r="N32" s="72">
        <v>3605.18</v>
      </c>
      <c r="O32" s="72">
        <v>1700.76</v>
      </c>
      <c r="P32" s="72">
        <v>2601.5700000000002</v>
      </c>
      <c r="Q32" s="72">
        <f t="shared" si="3"/>
        <v>900.81000000000017</v>
      </c>
      <c r="R32" s="72">
        <v>5445.05</v>
      </c>
      <c r="S32" s="72">
        <f>2866.46-52.41+1153.02</f>
        <v>3967.07</v>
      </c>
      <c r="T32" s="72">
        <v>4001.66</v>
      </c>
      <c r="U32" s="72">
        <f t="shared" si="4"/>
        <v>34.589999999999691</v>
      </c>
      <c r="V32" s="72">
        <f>6140.92-3279.05-52.33+1153.02</f>
        <v>3962.56</v>
      </c>
      <c r="W32" s="72">
        <f>6443.97-3440.87-54.91+1153.02</f>
        <v>4101.2100000000009</v>
      </c>
      <c r="X32" s="72">
        <v>4469.6899999999996</v>
      </c>
      <c r="Y32" s="72">
        <f t="shared" si="5"/>
        <v>368.47999999999865</v>
      </c>
    </row>
    <row r="33" spans="1:25" outlineLevel="1" x14ac:dyDescent="0.25">
      <c r="A33" s="30" t="s">
        <v>243</v>
      </c>
      <c r="B33" s="84" t="s">
        <v>490</v>
      </c>
      <c r="C33" s="72"/>
      <c r="D33" s="72"/>
      <c r="E33" s="73">
        <f t="shared" si="0"/>
        <v>0</v>
      </c>
      <c r="F33" s="73"/>
      <c r="G33" s="73"/>
      <c r="H33" s="73"/>
      <c r="I33" s="73">
        <f t="shared" si="1"/>
        <v>0</v>
      </c>
      <c r="J33" s="72"/>
      <c r="K33" s="72"/>
      <c r="L33" s="72"/>
      <c r="M33" s="73">
        <f t="shared" si="2"/>
        <v>0</v>
      </c>
      <c r="N33" s="72"/>
      <c r="O33" s="72"/>
      <c r="P33" s="72"/>
      <c r="Q33" s="72">
        <f t="shared" si="3"/>
        <v>0</v>
      </c>
      <c r="R33" s="72"/>
      <c r="S33" s="72">
        <v>1153.02</v>
      </c>
      <c r="T33" s="72">
        <v>1153.02</v>
      </c>
      <c r="U33" s="72">
        <f t="shared" si="4"/>
        <v>0</v>
      </c>
      <c r="V33" s="72">
        <v>1153.02</v>
      </c>
      <c r="W33" s="72">
        <v>1153.02</v>
      </c>
      <c r="X33" s="72">
        <v>1153.02</v>
      </c>
      <c r="Y33" s="72">
        <f t="shared" si="5"/>
        <v>0</v>
      </c>
    </row>
    <row r="34" spans="1:25" ht="18.600000000000001" customHeight="1" outlineLevel="1" x14ac:dyDescent="0.25">
      <c r="A34" s="32" t="s">
        <v>386</v>
      </c>
      <c r="B34" s="84" t="s">
        <v>413</v>
      </c>
      <c r="C34" s="72"/>
      <c r="D34" s="72"/>
      <c r="E34" s="73">
        <f t="shared" si="0"/>
        <v>0</v>
      </c>
      <c r="F34" s="73"/>
      <c r="G34" s="73"/>
      <c r="H34" s="73"/>
      <c r="I34" s="73">
        <f t="shared" si="1"/>
        <v>0</v>
      </c>
      <c r="J34" s="72"/>
      <c r="K34" s="72"/>
      <c r="L34" s="72"/>
      <c r="M34" s="73">
        <f t="shared" si="2"/>
        <v>0</v>
      </c>
      <c r="N34" s="72"/>
      <c r="O34" s="72"/>
      <c r="P34" s="72"/>
      <c r="Q34" s="72">
        <f t="shared" si="3"/>
        <v>0</v>
      </c>
      <c r="R34" s="72"/>
      <c r="S34" s="72"/>
      <c r="T34" s="72"/>
      <c r="U34" s="72">
        <f t="shared" si="4"/>
        <v>0</v>
      </c>
      <c r="V34" s="72"/>
      <c r="W34" s="72"/>
      <c r="X34" s="72"/>
      <c r="Y34" s="72">
        <f t="shared" si="5"/>
        <v>0</v>
      </c>
    </row>
    <row r="35" spans="1:25" outlineLevel="1" x14ac:dyDescent="0.25">
      <c r="A35" s="30" t="s">
        <v>97</v>
      </c>
      <c r="B35" s="89" t="s">
        <v>132</v>
      </c>
      <c r="C35" s="76">
        <v>30749.128992977749</v>
      </c>
      <c r="D35" s="76">
        <v>38164.400000000001</v>
      </c>
      <c r="E35" s="77">
        <f t="shared" si="0"/>
        <v>7415.2710070222529</v>
      </c>
      <c r="F35" s="77">
        <v>145940</v>
      </c>
      <c r="G35" s="77">
        <v>62049.24</v>
      </c>
      <c r="H35" s="77">
        <v>58510.5</v>
      </c>
      <c r="I35" s="77">
        <f t="shared" si="1"/>
        <v>-3538.739999999998</v>
      </c>
      <c r="J35" s="78">
        <v>154523.14000000001</v>
      </c>
      <c r="K35" s="78">
        <v>69936.67</v>
      </c>
      <c r="L35" s="78">
        <f>L7+L8+L10+L13+L16+L18+L20+L21</f>
        <v>70149.55</v>
      </c>
      <c r="M35" s="77">
        <f t="shared" si="2"/>
        <v>212.88000000000466</v>
      </c>
      <c r="N35" s="78">
        <v>81792.08</v>
      </c>
      <c r="O35" s="78">
        <v>71642.350000000006</v>
      </c>
      <c r="P35" s="78">
        <f>P7+P8+P10+P13+P16+P18+P20+P21</f>
        <v>62428.819999999992</v>
      </c>
      <c r="Q35" s="78">
        <f t="shared" si="3"/>
        <v>-9213.5300000000134</v>
      </c>
      <c r="R35" s="77">
        <f>R7+R8+R10+R13+R16+R18+R20+R21</f>
        <v>152485.32999999999</v>
      </c>
      <c r="S35" s="78">
        <f>S7+S8+S10+S13+S16+S18+S20+S21</f>
        <v>86158.720000000001</v>
      </c>
      <c r="T35" s="78">
        <f>T7+T8+T10+T13+T16+T18+T20+T21</f>
        <v>80544.260000000009</v>
      </c>
      <c r="U35" s="78">
        <f t="shared" si="4"/>
        <v>-5614.4599999999919</v>
      </c>
      <c r="V35" s="77">
        <f>V7+V8+V10+V13+V16+V18+V20+V21</f>
        <v>118031.80000000002</v>
      </c>
      <c r="W35" s="78">
        <f>W7+W8+W10+W13+W16+W18+W20+W21</f>
        <v>91079.01</v>
      </c>
      <c r="X35" s="77">
        <f>X7+X8+X10+X13+X16+X18+X20+X21</f>
        <v>93870.25</v>
      </c>
      <c r="Y35" s="78">
        <f t="shared" si="5"/>
        <v>2791.2400000000052</v>
      </c>
    </row>
    <row r="36" spans="1:25" outlineLevel="1" x14ac:dyDescent="0.25">
      <c r="A36" s="30" t="s">
        <v>98</v>
      </c>
      <c r="B36" s="84" t="s">
        <v>133</v>
      </c>
      <c r="C36" s="72"/>
      <c r="D36" s="72"/>
      <c r="E36" s="73">
        <f t="shared" si="0"/>
        <v>0</v>
      </c>
      <c r="F36" s="73">
        <v>696.75</v>
      </c>
      <c r="G36" s="73">
        <v>2452.17</v>
      </c>
      <c r="H36" s="73"/>
      <c r="I36" s="73">
        <f t="shared" si="1"/>
        <v>-2452.17</v>
      </c>
      <c r="J36" s="72"/>
      <c r="K36" s="72">
        <v>1849.82</v>
      </c>
      <c r="L36" s="72"/>
      <c r="M36" s="73">
        <f t="shared" si="2"/>
        <v>-1849.82</v>
      </c>
      <c r="N36" s="72"/>
      <c r="O36" s="72"/>
      <c r="P36" s="72"/>
      <c r="Q36" s="72">
        <f t="shared" si="3"/>
        <v>0</v>
      </c>
      <c r="R36" s="72"/>
      <c r="S36" s="72">
        <v>10676.78</v>
      </c>
      <c r="T36" s="72"/>
      <c r="U36" s="72"/>
      <c r="V36" s="72">
        <v>10655.97</v>
      </c>
      <c r="W36" s="72">
        <v>-6347.52</v>
      </c>
      <c r="X36" s="72"/>
      <c r="Y36" s="72"/>
    </row>
    <row r="37" spans="1:25" ht="24" customHeight="1" outlineLevel="1" x14ac:dyDescent="0.25">
      <c r="A37" s="30" t="s">
        <v>134</v>
      </c>
      <c r="B37" s="84" t="s">
        <v>135</v>
      </c>
      <c r="C37" s="72"/>
      <c r="D37" s="72"/>
      <c r="E37" s="73">
        <f t="shared" si="0"/>
        <v>0</v>
      </c>
      <c r="F37" s="73"/>
      <c r="G37" s="73"/>
      <c r="H37" s="73"/>
      <c r="I37" s="73">
        <f t="shared" si="1"/>
        <v>0</v>
      </c>
      <c r="J37" s="72"/>
      <c r="K37" s="72"/>
      <c r="L37" s="72"/>
      <c r="M37" s="73">
        <f t="shared" si="2"/>
        <v>0</v>
      </c>
      <c r="N37" s="72"/>
      <c r="O37" s="72">
        <v>-6378.51</v>
      </c>
      <c r="P37" s="72"/>
      <c r="Q37" s="72">
        <f t="shared" si="3"/>
        <v>6378.51</v>
      </c>
      <c r="R37" s="72"/>
      <c r="S37" s="72">
        <v>-22798.57</v>
      </c>
      <c r="T37" s="72"/>
      <c r="U37" s="72"/>
      <c r="V37" s="72"/>
      <c r="W37" s="72"/>
      <c r="X37" s="72"/>
      <c r="Y37" s="72"/>
    </row>
    <row r="38" spans="1:25" outlineLevel="1" x14ac:dyDescent="0.25">
      <c r="A38" s="31" t="s">
        <v>136</v>
      </c>
      <c r="B38" s="84" t="s">
        <v>137</v>
      </c>
      <c r="C38" s="76">
        <v>30749.128992977749</v>
      </c>
      <c r="D38" s="76">
        <v>38164.400000000001</v>
      </c>
      <c r="E38" s="77">
        <f t="shared" si="0"/>
        <v>7415.2710070222529</v>
      </c>
      <c r="F38" s="77">
        <v>146636.79999999999</v>
      </c>
      <c r="G38" s="77">
        <v>64501.41</v>
      </c>
      <c r="H38" s="77">
        <v>58510.5</v>
      </c>
      <c r="I38" s="77">
        <f t="shared" si="1"/>
        <v>-5990.9100000000035</v>
      </c>
      <c r="J38" s="78">
        <v>154523.14000000001</v>
      </c>
      <c r="K38" s="78">
        <v>71786.490000000005</v>
      </c>
      <c r="L38" s="78">
        <f>L35+L36</f>
        <v>70149.55</v>
      </c>
      <c r="M38" s="77">
        <f t="shared" si="2"/>
        <v>-1636.9400000000023</v>
      </c>
      <c r="N38" s="78">
        <v>81792.08</v>
      </c>
      <c r="O38" s="78">
        <v>65263.85</v>
      </c>
      <c r="P38" s="78">
        <f>P35+P36</f>
        <v>62428.819999999992</v>
      </c>
      <c r="Q38" s="78">
        <f>P38-O38</f>
        <v>-2835.0300000000061</v>
      </c>
      <c r="R38" s="77">
        <f>R35+R37</f>
        <v>152485.32999999999</v>
      </c>
      <c r="S38" s="78">
        <f>S35+S37+S36</f>
        <v>74036.930000000008</v>
      </c>
      <c r="T38" s="78">
        <f>T35+T36</f>
        <v>80544.260000000009</v>
      </c>
      <c r="U38" s="78">
        <f>T38-S38</f>
        <v>6507.3300000000017</v>
      </c>
      <c r="V38" s="77">
        <f>V35+V37+V36</f>
        <v>128687.77000000002</v>
      </c>
      <c r="W38" s="78">
        <f>W35+W37+W36</f>
        <v>84731.489999999991</v>
      </c>
      <c r="X38" s="78">
        <f>X35+X36</f>
        <v>93870.25</v>
      </c>
      <c r="Y38" s="78">
        <f>X38-W38</f>
        <v>9138.7600000000093</v>
      </c>
    </row>
    <row r="39" spans="1:25" outlineLevel="1" x14ac:dyDescent="0.25">
      <c r="A39" s="30"/>
      <c r="B39" s="84" t="s">
        <v>138</v>
      </c>
      <c r="C39" s="72"/>
      <c r="D39" s="72"/>
      <c r="E39" s="73">
        <f t="shared" si="0"/>
        <v>0</v>
      </c>
      <c r="F39" s="73"/>
      <c r="G39" s="73"/>
      <c r="H39" s="73"/>
      <c r="I39" s="73">
        <f t="shared" si="1"/>
        <v>0</v>
      </c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</row>
    <row r="40" spans="1:25" outlineLevel="1" x14ac:dyDescent="0.25">
      <c r="A40" s="32" t="s">
        <v>139</v>
      </c>
      <c r="B40" s="84" t="s">
        <v>140</v>
      </c>
      <c r="C40" s="72"/>
      <c r="D40" s="72"/>
      <c r="E40" s="73">
        <f t="shared" si="0"/>
        <v>0</v>
      </c>
      <c r="F40" s="73"/>
      <c r="G40" s="73"/>
      <c r="H40" s="73"/>
      <c r="I40" s="73">
        <f t="shared" si="1"/>
        <v>0</v>
      </c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</row>
    <row r="41" spans="1:25" outlineLevel="1" x14ac:dyDescent="0.25">
      <c r="A41" s="30" t="s">
        <v>147</v>
      </c>
      <c r="B41" s="84" t="s">
        <v>148</v>
      </c>
      <c r="C41" s="72"/>
      <c r="D41" s="72"/>
      <c r="E41" s="73">
        <f t="shared" si="0"/>
        <v>0</v>
      </c>
      <c r="F41" s="73"/>
      <c r="G41" s="73"/>
      <c r="H41" s="73"/>
      <c r="I41" s="73">
        <f t="shared" si="1"/>
        <v>0</v>
      </c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</row>
    <row r="42" spans="1:25" outlineLevel="1" x14ac:dyDescent="0.25">
      <c r="A42" s="30" t="s">
        <v>155</v>
      </c>
      <c r="B42" s="84" t="s">
        <v>156</v>
      </c>
      <c r="C42" s="72"/>
      <c r="D42" s="72"/>
      <c r="E42" s="73">
        <f t="shared" si="0"/>
        <v>0</v>
      </c>
      <c r="F42" s="73"/>
      <c r="G42" s="73"/>
      <c r="H42" s="73"/>
      <c r="I42" s="73">
        <f t="shared" si="1"/>
        <v>0</v>
      </c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</row>
    <row r="43" spans="1:25" outlineLevel="1" x14ac:dyDescent="0.25">
      <c r="A43" s="169" t="s">
        <v>526</v>
      </c>
      <c r="B43" s="84" t="s">
        <v>364</v>
      </c>
      <c r="C43" s="72"/>
      <c r="D43" s="72"/>
      <c r="E43" s="73"/>
      <c r="F43" s="73"/>
      <c r="G43" s="73"/>
      <c r="H43" s="73"/>
      <c r="I43" s="73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>
        <v>81258.77</v>
      </c>
      <c r="W43" s="72"/>
      <c r="X43" s="72">
        <v>11486.51</v>
      </c>
      <c r="Y43" s="78">
        <f>X43-W43</f>
        <v>11486.51</v>
      </c>
    </row>
    <row r="44" spans="1:25" outlineLevel="1" x14ac:dyDescent="0.25">
      <c r="A44" s="143" t="s">
        <v>527</v>
      </c>
      <c r="B44" s="90" t="s">
        <v>157</v>
      </c>
      <c r="C44" s="76">
        <v>187.37187392541315</v>
      </c>
      <c r="D44" s="76">
        <v>35</v>
      </c>
      <c r="E44" s="77">
        <f t="shared" si="0"/>
        <v>-152.37187392541315</v>
      </c>
      <c r="F44" s="77">
        <v>14240</v>
      </c>
      <c r="G44" s="77">
        <v>231.15</v>
      </c>
      <c r="H44" s="77">
        <v>119.6</v>
      </c>
      <c r="I44" s="77">
        <f t="shared" si="1"/>
        <v>-111.55000000000001</v>
      </c>
      <c r="J44" s="78">
        <v>28522</v>
      </c>
      <c r="K44" s="78">
        <v>7760.04</v>
      </c>
      <c r="L44" s="78">
        <v>770.29</v>
      </c>
      <c r="M44" s="77">
        <f>L44-K44</f>
        <v>-6989.75</v>
      </c>
      <c r="N44" s="78">
        <v>8274.01</v>
      </c>
      <c r="O44" s="78">
        <v>8587.8799999999992</v>
      </c>
      <c r="P44" s="78">
        <v>343.67</v>
      </c>
      <c r="Q44" s="78">
        <f>P44-O44</f>
        <v>-8244.2099999999991</v>
      </c>
      <c r="R44" s="78">
        <v>13160.61</v>
      </c>
      <c r="S44" s="78">
        <v>628.74</v>
      </c>
      <c r="T44" s="78">
        <v>323.64</v>
      </c>
      <c r="U44" s="78">
        <f>T44-S44</f>
        <v>-305.10000000000002</v>
      </c>
      <c r="V44" s="78">
        <f>424.96+96.53+106.24</f>
        <v>627.73</v>
      </c>
      <c r="W44" s="78">
        <f>101.3+445.93+111.48</f>
        <v>658.71</v>
      </c>
      <c r="X44" s="78">
        <v>558.32000000000005</v>
      </c>
      <c r="Y44" s="78">
        <f>X44-W44</f>
        <v>-100.38999999999999</v>
      </c>
    </row>
    <row r="45" spans="1:25" outlineLevel="1" x14ac:dyDescent="0.25">
      <c r="A45" s="170">
        <v>15</v>
      </c>
      <c r="B45" s="171" t="s">
        <v>457</v>
      </c>
      <c r="C45" s="172">
        <v>30936.500866903163</v>
      </c>
      <c r="D45" s="172">
        <f>D38+D44</f>
        <v>38199.4</v>
      </c>
      <c r="E45" s="173">
        <f t="shared" si="0"/>
        <v>7262.8991330968383</v>
      </c>
      <c r="F45" s="173">
        <v>160876.79999999999</v>
      </c>
      <c r="G45" s="173">
        <v>64732.56</v>
      </c>
      <c r="H45" s="173">
        <v>58630.1</v>
      </c>
      <c r="I45" s="173">
        <f t="shared" si="1"/>
        <v>-6102.4599999999991</v>
      </c>
      <c r="J45" s="174">
        <v>183045.14</v>
      </c>
      <c r="K45" s="174">
        <v>79546.53</v>
      </c>
      <c r="L45" s="174">
        <f>L38+L44</f>
        <v>70919.839999999997</v>
      </c>
      <c r="M45" s="173">
        <f>L45-K45</f>
        <v>-8626.6900000000023</v>
      </c>
      <c r="N45" s="174">
        <v>90066.09</v>
      </c>
      <c r="O45" s="174">
        <v>73851.73</v>
      </c>
      <c r="P45" s="174">
        <f>P38+P44</f>
        <v>62772.489999999991</v>
      </c>
      <c r="Q45" s="174">
        <f>P45-O45</f>
        <v>-11079.240000000005</v>
      </c>
      <c r="R45" s="173">
        <f>R38+R44</f>
        <v>165645.94</v>
      </c>
      <c r="S45" s="174">
        <v>74665.649999999994</v>
      </c>
      <c r="T45" s="174">
        <f>T38+T44</f>
        <v>80867.900000000009</v>
      </c>
      <c r="U45" s="174">
        <f>T45-S45</f>
        <v>6202.2500000000146</v>
      </c>
      <c r="V45" s="173">
        <f>V38+V44+V43</f>
        <v>210574.27000000002</v>
      </c>
      <c r="W45" s="173">
        <f>W38+W44+W43</f>
        <v>85390.2</v>
      </c>
      <c r="X45" s="174">
        <f>X38+X44+X43</f>
        <v>105915.08</v>
      </c>
      <c r="Y45" s="174">
        <f>X45-W45</f>
        <v>20524.880000000005</v>
      </c>
    </row>
    <row r="46" spans="1:25" ht="15.6" outlineLevel="1" x14ac:dyDescent="0.3">
      <c r="A46" s="144">
        <v>16</v>
      </c>
      <c r="B46" s="78" t="s">
        <v>458</v>
      </c>
      <c r="C46" s="145"/>
      <c r="D46" s="145"/>
      <c r="E46" s="74"/>
      <c r="F46" s="72"/>
      <c r="G46" s="147">
        <v>20602.45</v>
      </c>
      <c r="H46" s="147">
        <v>26786</v>
      </c>
      <c r="I46" s="77">
        <f t="shared" si="1"/>
        <v>6183.5499999999993</v>
      </c>
      <c r="J46" s="72"/>
      <c r="K46" s="78">
        <v>21312.65</v>
      </c>
      <c r="L46" s="78">
        <v>30804.3</v>
      </c>
      <c r="M46" s="77">
        <f>L46-K46</f>
        <v>9491.6499999999978</v>
      </c>
      <c r="N46" s="72"/>
      <c r="O46" s="147">
        <v>20939.8</v>
      </c>
      <c r="P46" s="147">
        <v>34167.550000000003</v>
      </c>
      <c r="Q46" s="78">
        <f>P46-O46</f>
        <v>13227.750000000004</v>
      </c>
      <c r="R46" s="78">
        <v>24105.65</v>
      </c>
      <c r="S46" s="78">
        <v>24105.65</v>
      </c>
      <c r="T46" s="78">
        <v>33537.24</v>
      </c>
      <c r="U46" s="78">
        <f>T46-S46</f>
        <v>9431.5899999999965</v>
      </c>
      <c r="V46" s="78">
        <v>26852.71</v>
      </c>
      <c r="W46" s="78">
        <v>26852.71</v>
      </c>
      <c r="X46" s="184">
        <v>28412.82</v>
      </c>
      <c r="Y46" s="78">
        <f>X46-W46</f>
        <v>1560.1100000000006</v>
      </c>
    </row>
    <row r="47" spans="1:25" outlineLevel="1" x14ac:dyDescent="0.25">
      <c r="A47" s="146">
        <v>17</v>
      </c>
      <c r="B47" s="78" t="s">
        <v>459</v>
      </c>
      <c r="C47" s="72"/>
      <c r="D47" s="72"/>
      <c r="E47" s="72"/>
      <c r="F47" s="72"/>
      <c r="G47" s="147">
        <v>85335.01</v>
      </c>
      <c r="H47" s="147">
        <v>85416.1</v>
      </c>
      <c r="I47" s="77">
        <f t="shared" si="1"/>
        <v>81.090000000011059</v>
      </c>
      <c r="J47" s="72"/>
      <c r="K47" s="147">
        <v>100859.18</v>
      </c>
      <c r="L47" s="147">
        <v>101724.14</v>
      </c>
      <c r="M47" s="77">
        <f>L47-K47</f>
        <v>864.9600000000064</v>
      </c>
      <c r="N47" s="72"/>
      <c r="O47" s="147">
        <v>94791.53</v>
      </c>
      <c r="P47" s="147">
        <v>109226.18</v>
      </c>
      <c r="Q47" s="78">
        <f>P47-O47</f>
        <v>14434.649999999994</v>
      </c>
      <c r="R47" s="78">
        <f>R45+R46</f>
        <v>189751.59</v>
      </c>
      <c r="S47" s="78">
        <f>S45+S46</f>
        <v>98771.299999999988</v>
      </c>
      <c r="T47" s="78">
        <f>T45+T46</f>
        <v>114405.14000000001</v>
      </c>
      <c r="U47" s="78">
        <f>T47-S47</f>
        <v>15633.840000000026</v>
      </c>
      <c r="V47" s="78">
        <f>V45+V46</f>
        <v>237426.98</v>
      </c>
      <c r="W47" s="78">
        <f>W45+W46</f>
        <v>112242.91</v>
      </c>
      <c r="X47" s="77">
        <f>X45+X46</f>
        <v>134327.9</v>
      </c>
      <c r="Y47" s="78">
        <f>X47-W47</f>
        <v>22084.989999999991</v>
      </c>
    </row>
    <row r="48" spans="1:25" outlineLevel="1" x14ac:dyDescent="0.25">
      <c r="A48" s="146">
        <v>18</v>
      </c>
      <c r="B48" s="78" t="s">
        <v>460</v>
      </c>
      <c r="C48" s="72"/>
      <c r="D48" s="72"/>
      <c r="E48" s="72"/>
      <c r="F48" s="72"/>
      <c r="G48" s="147"/>
      <c r="H48" s="147">
        <v>82182</v>
      </c>
      <c r="I48" s="72"/>
      <c r="J48" s="72"/>
      <c r="K48" s="72"/>
      <c r="L48" s="148">
        <v>97994</v>
      </c>
      <c r="M48" s="77"/>
      <c r="N48" s="72"/>
      <c r="O48" s="147"/>
      <c r="P48" s="147">
        <v>70452.45</v>
      </c>
      <c r="Q48" s="72"/>
      <c r="R48" s="78"/>
      <c r="S48" s="78"/>
      <c r="T48" s="78">
        <v>103082.7</v>
      </c>
      <c r="U48" s="72"/>
      <c r="V48" s="78"/>
      <c r="W48" s="78"/>
      <c r="X48" s="184">
        <v>112280.9</v>
      </c>
      <c r="Y48" s="72"/>
    </row>
    <row r="49" spans="1:25" outlineLevel="1" x14ac:dyDescent="0.25">
      <c r="A49" s="146">
        <v>19</v>
      </c>
      <c r="B49" s="78" t="s">
        <v>461</v>
      </c>
      <c r="C49" s="72"/>
      <c r="D49" s="72"/>
      <c r="E49" s="72"/>
      <c r="F49" s="72"/>
      <c r="G49" s="147"/>
      <c r="H49" s="147" t="s">
        <v>463</v>
      </c>
      <c r="I49" s="72"/>
      <c r="J49" s="72"/>
      <c r="K49" s="72"/>
      <c r="L49" s="149" t="s">
        <v>462</v>
      </c>
      <c r="M49" s="77"/>
      <c r="N49" s="72"/>
      <c r="O49" s="147"/>
      <c r="P49" s="147" t="s">
        <v>464</v>
      </c>
      <c r="Q49" s="72"/>
      <c r="R49" s="78"/>
      <c r="S49" s="78"/>
      <c r="T49" s="147" t="s">
        <v>530</v>
      </c>
      <c r="U49" s="72"/>
      <c r="V49" s="78"/>
      <c r="W49" s="78"/>
      <c r="X49" s="147">
        <v>-7197</v>
      </c>
      <c r="Y49" s="72"/>
    </row>
    <row r="51" spans="1:25" x14ac:dyDescent="0.25">
      <c r="A51" s="4" t="s">
        <v>0</v>
      </c>
      <c r="B51" s="162" t="s">
        <v>227</v>
      </c>
    </row>
  </sheetData>
  <dataConsolidate/>
  <mergeCells count="18">
    <mergeCell ref="Q4:Q5"/>
    <mergeCell ref="P4:P5"/>
    <mergeCell ref="V4:W4"/>
    <mergeCell ref="X4:X5"/>
    <mergeCell ref="Y4:Y5"/>
    <mergeCell ref="R4:S4"/>
    <mergeCell ref="T4:T5"/>
    <mergeCell ref="U4:U5"/>
    <mergeCell ref="A2:C2"/>
    <mergeCell ref="A4:A5"/>
    <mergeCell ref="B4:B5"/>
    <mergeCell ref="F4:G4"/>
    <mergeCell ref="N4:O4"/>
    <mergeCell ref="M4:M5"/>
    <mergeCell ref="I4:I5"/>
    <mergeCell ref="H4:H5"/>
    <mergeCell ref="J4:K4"/>
    <mergeCell ref="L4:L5"/>
  </mergeCells>
  <pageMargins left="0.70866141732283472" right="0.70866141732283472" top="0.19685039370078741" bottom="0.15748031496062992" header="0.31496062992125984" footer="0.31496062992125984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192"/>
  <sheetViews>
    <sheetView zoomScaleNormal="100" workbookViewId="0">
      <selection activeCell="F54" sqref="A1:F54"/>
    </sheetView>
  </sheetViews>
  <sheetFormatPr defaultColWidth="9.21875" defaultRowHeight="13.2" x14ac:dyDescent="0.25"/>
  <cols>
    <col min="1" max="1" width="8.44140625" style="4" customWidth="1"/>
    <col min="2" max="2" width="35.88671875" style="4" customWidth="1"/>
    <col min="3" max="3" width="12" style="4" customWidth="1"/>
    <col min="4" max="4" width="10.21875" style="4" customWidth="1"/>
    <col min="5" max="5" width="9.6640625" style="4" customWidth="1"/>
    <col min="6" max="6" width="10.88671875" style="4" customWidth="1"/>
    <col min="7" max="7" width="9.44140625" style="4" bestFit="1" customWidth="1"/>
    <col min="8" max="253" width="9.21875" style="4"/>
    <col min="254" max="254" width="6.44140625" style="4" customWidth="1"/>
    <col min="255" max="255" width="47.77734375" style="4" customWidth="1"/>
    <col min="256" max="256" width="12.77734375" style="4" customWidth="1"/>
    <col min="257" max="257" width="14.44140625" style="4" customWidth="1"/>
    <col min="258" max="258" width="12.21875" style="4" customWidth="1"/>
    <col min="259" max="260" width="11.77734375" style="4" customWidth="1"/>
    <col min="261" max="509" width="9.21875" style="4"/>
    <col min="510" max="510" width="6.44140625" style="4" customWidth="1"/>
    <col min="511" max="511" width="47.77734375" style="4" customWidth="1"/>
    <col min="512" max="512" width="12.77734375" style="4" customWidth="1"/>
    <col min="513" max="513" width="14.44140625" style="4" customWidth="1"/>
    <col min="514" max="514" width="12.21875" style="4" customWidth="1"/>
    <col min="515" max="516" width="11.77734375" style="4" customWidth="1"/>
    <col min="517" max="765" width="9.21875" style="4"/>
    <col min="766" max="766" width="6.44140625" style="4" customWidth="1"/>
    <col min="767" max="767" width="47.77734375" style="4" customWidth="1"/>
    <col min="768" max="768" width="12.77734375" style="4" customWidth="1"/>
    <col min="769" max="769" width="14.44140625" style="4" customWidth="1"/>
    <col min="770" max="770" width="12.21875" style="4" customWidth="1"/>
    <col min="771" max="772" width="11.77734375" style="4" customWidth="1"/>
    <col min="773" max="1021" width="9.21875" style="4"/>
    <col min="1022" max="1022" width="6.44140625" style="4" customWidth="1"/>
    <col min="1023" max="1023" width="47.77734375" style="4" customWidth="1"/>
    <col min="1024" max="1024" width="12.77734375" style="4" customWidth="1"/>
    <col min="1025" max="1025" width="14.44140625" style="4" customWidth="1"/>
    <col min="1026" max="1026" width="12.21875" style="4" customWidth="1"/>
    <col min="1027" max="1028" width="11.77734375" style="4" customWidth="1"/>
    <col min="1029" max="1277" width="9.21875" style="4"/>
    <col min="1278" max="1278" width="6.44140625" style="4" customWidth="1"/>
    <col min="1279" max="1279" width="47.77734375" style="4" customWidth="1"/>
    <col min="1280" max="1280" width="12.77734375" style="4" customWidth="1"/>
    <col min="1281" max="1281" width="14.44140625" style="4" customWidth="1"/>
    <col min="1282" max="1282" width="12.21875" style="4" customWidth="1"/>
    <col min="1283" max="1284" width="11.77734375" style="4" customWidth="1"/>
    <col min="1285" max="1533" width="9.21875" style="4"/>
    <col min="1534" max="1534" width="6.44140625" style="4" customWidth="1"/>
    <col min="1535" max="1535" width="47.77734375" style="4" customWidth="1"/>
    <col min="1536" max="1536" width="12.77734375" style="4" customWidth="1"/>
    <col min="1537" max="1537" width="14.44140625" style="4" customWidth="1"/>
    <col min="1538" max="1538" width="12.21875" style="4" customWidth="1"/>
    <col min="1539" max="1540" width="11.77734375" style="4" customWidth="1"/>
    <col min="1541" max="1789" width="9.21875" style="4"/>
    <col min="1790" max="1790" width="6.44140625" style="4" customWidth="1"/>
    <col min="1791" max="1791" width="47.77734375" style="4" customWidth="1"/>
    <col min="1792" max="1792" width="12.77734375" style="4" customWidth="1"/>
    <col min="1793" max="1793" width="14.44140625" style="4" customWidth="1"/>
    <col min="1794" max="1794" width="12.21875" style="4" customWidth="1"/>
    <col min="1795" max="1796" width="11.77734375" style="4" customWidth="1"/>
    <col min="1797" max="2045" width="9.21875" style="4"/>
    <col min="2046" max="2046" width="6.44140625" style="4" customWidth="1"/>
    <col min="2047" max="2047" width="47.77734375" style="4" customWidth="1"/>
    <col min="2048" max="2048" width="12.77734375" style="4" customWidth="1"/>
    <col min="2049" max="2049" width="14.44140625" style="4" customWidth="1"/>
    <col min="2050" max="2050" width="12.21875" style="4" customWidth="1"/>
    <col min="2051" max="2052" width="11.77734375" style="4" customWidth="1"/>
    <col min="2053" max="2301" width="9.21875" style="4"/>
    <col min="2302" max="2302" width="6.44140625" style="4" customWidth="1"/>
    <col min="2303" max="2303" width="47.77734375" style="4" customWidth="1"/>
    <col min="2304" max="2304" width="12.77734375" style="4" customWidth="1"/>
    <col min="2305" max="2305" width="14.44140625" style="4" customWidth="1"/>
    <col min="2306" max="2306" width="12.21875" style="4" customWidth="1"/>
    <col min="2307" max="2308" width="11.77734375" style="4" customWidth="1"/>
    <col min="2309" max="2557" width="9.21875" style="4"/>
    <col min="2558" max="2558" width="6.44140625" style="4" customWidth="1"/>
    <col min="2559" max="2559" width="47.77734375" style="4" customWidth="1"/>
    <col min="2560" max="2560" width="12.77734375" style="4" customWidth="1"/>
    <col min="2561" max="2561" width="14.44140625" style="4" customWidth="1"/>
    <col min="2562" max="2562" width="12.21875" style="4" customWidth="1"/>
    <col min="2563" max="2564" width="11.77734375" style="4" customWidth="1"/>
    <col min="2565" max="2813" width="9.21875" style="4"/>
    <col min="2814" max="2814" width="6.44140625" style="4" customWidth="1"/>
    <col min="2815" max="2815" width="47.77734375" style="4" customWidth="1"/>
    <col min="2816" max="2816" width="12.77734375" style="4" customWidth="1"/>
    <col min="2817" max="2817" width="14.44140625" style="4" customWidth="1"/>
    <col min="2818" max="2818" width="12.21875" style="4" customWidth="1"/>
    <col min="2819" max="2820" width="11.77734375" style="4" customWidth="1"/>
    <col min="2821" max="3069" width="9.21875" style="4"/>
    <col min="3070" max="3070" width="6.44140625" style="4" customWidth="1"/>
    <col min="3071" max="3071" width="47.77734375" style="4" customWidth="1"/>
    <col min="3072" max="3072" width="12.77734375" style="4" customWidth="1"/>
    <col min="3073" max="3073" width="14.44140625" style="4" customWidth="1"/>
    <col min="3074" max="3074" width="12.21875" style="4" customWidth="1"/>
    <col min="3075" max="3076" width="11.77734375" style="4" customWidth="1"/>
    <col min="3077" max="3325" width="9.21875" style="4"/>
    <col min="3326" max="3326" width="6.44140625" style="4" customWidth="1"/>
    <col min="3327" max="3327" width="47.77734375" style="4" customWidth="1"/>
    <col min="3328" max="3328" width="12.77734375" style="4" customWidth="1"/>
    <col min="3329" max="3329" width="14.44140625" style="4" customWidth="1"/>
    <col min="3330" max="3330" width="12.21875" style="4" customWidth="1"/>
    <col min="3331" max="3332" width="11.77734375" style="4" customWidth="1"/>
    <col min="3333" max="3581" width="9.21875" style="4"/>
    <col min="3582" max="3582" width="6.44140625" style="4" customWidth="1"/>
    <col min="3583" max="3583" width="47.77734375" style="4" customWidth="1"/>
    <col min="3584" max="3584" width="12.77734375" style="4" customWidth="1"/>
    <col min="3585" max="3585" width="14.44140625" style="4" customWidth="1"/>
    <col min="3586" max="3586" width="12.21875" style="4" customWidth="1"/>
    <col min="3587" max="3588" width="11.77734375" style="4" customWidth="1"/>
    <col min="3589" max="3837" width="9.21875" style="4"/>
    <col min="3838" max="3838" width="6.44140625" style="4" customWidth="1"/>
    <col min="3839" max="3839" width="47.77734375" style="4" customWidth="1"/>
    <col min="3840" max="3840" width="12.77734375" style="4" customWidth="1"/>
    <col min="3841" max="3841" width="14.44140625" style="4" customWidth="1"/>
    <col min="3842" max="3842" width="12.21875" style="4" customWidth="1"/>
    <col min="3843" max="3844" width="11.77734375" style="4" customWidth="1"/>
    <col min="3845" max="4093" width="9.21875" style="4"/>
    <col min="4094" max="4094" width="6.44140625" style="4" customWidth="1"/>
    <col min="4095" max="4095" width="47.77734375" style="4" customWidth="1"/>
    <col min="4096" max="4096" width="12.77734375" style="4" customWidth="1"/>
    <col min="4097" max="4097" width="14.44140625" style="4" customWidth="1"/>
    <col min="4098" max="4098" width="12.21875" style="4" customWidth="1"/>
    <col min="4099" max="4100" width="11.77734375" style="4" customWidth="1"/>
    <col min="4101" max="4349" width="9.21875" style="4"/>
    <col min="4350" max="4350" width="6.44140625" style="4" customWidth="1"/>
    <col min="4351" max="4351" width="47.77734375" style="4" customWidth="1"/>
    <col min="4352" max="4352" width="12.77734375" style="4" customWidth="1"/>
    <col min="4353" max="4353" width="14.44140625" style="4" customWidth="1"/>
    <col min="4354" max="4354" width="12.21875" style="4" customWidth="1"/>
    <col min="4355" max="4356" width="11.77734375" style="4" customWidth="1"/>
    <col min="4357" max="4605" width="9.21875" style="4"/>
    <col min="4606" max="4606" width="6.44140625" style="4" customWidth="1"/>
    <col min="4607" max="4607" width="47.77734375" style="4" customWidth="1"/>
    <col min="4608" max="4608" width="12.77734375" style="4" customWidth="1"/>
    <col min="4609" max="4609" width="14.44140625" style="4" customWidth="1"/>
    <col min="4610" max="4610" width="12.21875" style="4" customWidth="1"/>
    <col min="4611" max="4612" width="11.77734375" style="4" customWidth="1"/>
    <col min="4613" max="4861" width="9.21875" style="4"/>
    <col min="4862" max="4862" width="6.44140625" style="4" customWidth="1"/>
    <col min="4863" max="4863" width="47.77734375" style="4" customWidth="1"/>
    <col min="4864" max="4864" width="12.77734375" style="4" customWidth="1"/>
    <col min="4865" max="4865" width="14.44140625" style="4" customWidth="1"/>
    <col min="4866" max="4866" width="12.21875" style="4" customWidth="1"/>
    <col min="4867" max="4868" width="11.77734375" style="4" customWidth="1"/>
    <col min="4869" max="5117" width="9.21875" style="4"/>
    <col min="5118" max="5118" width="6.44140625" style="4" customWidth="1"/>
    <col min="5119" max="5119" width="47.77734375" style="4" customWidth="1"/>
    <col min="5120" max="5120" width="12.77734375" style="4" customWidth="1"/>
    <col min="5121" max="5121" width="14.44140625" style="4" customWidth="1"/>
    <col min="5122" max="5122" width="12.21875" style="4" customWidth="1"/>
    <col min="5123" max="5124" width="11.77734375" style="4" customWidth="1"/>
    <col min="5125" max="5373" width="9.21875" style="4"/>
    <col min="5374" max="5374" width="6.44140625" style="4" customWidth="1"/>
    <col min="5375" max="5375" width="47.77734375" style="4" customWidth="1"/>
    <col min="5376" max="5376" width="12.77734375" style="4" customWidth="1"/>
    <col min="5377" max="5377" width="14.44140625" style="4" customWidth="1"/>
    <col min="5378" max="5378" width="12.21875" style="4" customWidth="1"/>
    <col min="5379" max="5380" width="11.77734375" style="4" customWidth="1"/>
    <col min="5381" max="5629" width="9.21875" style="4"/>
    <col min="5630" max="5630" width="6.44140625" style="4" customWidth="1"/>
    <col min="5631" max="5631" width="47.77734375" style="4" customWidth="1"/>
    <col min="5632" max="5632" width="12.77734375" style="4" customWidth="1"/>
    <col min="5633" max="5633" width="14.44140625" style="4" customWidth="1"/>
    <col min="5634" max="5634" width="12.21875" style="4" customWidth="1"/>
    <col min="5635" max="5636" width="11.77734375" style="4" customWidth="1"/>
    <col min="5637" max="5885" width="9.21875" style="4"/>
    <col min="5886" max="5886" width="6.44140625" style="4" customWidth="1"/>
    <col min="5887" max="5887" width="47.77734375" style="4" customWidth="1"/>
    <col min="5888" max="5888" width="12.77734375" style="4" customWidth="1"/>
    <col min="5889" max="5889" width="14.44140625" style="4" customWidth="1"/>
    <col min="5890" max="5890" width="12.21875" style="4" customWidth="1"/>
    <col min="5891" max="5892" width="11.77734375" style="4" customWidth="1"/>
    <col min="5893" max="6141" width="9.21875" style="4"/>
    <col min="6142" max="6142" width="6.44140625" style="4" customWidth="1"/>
    <col min="6143" max="6143" width="47.77734375" style="4" customWidth="1"/>
    <col min="6144" max="6144" width="12.77734375" style="4" customWidth="1"/>
    <col min="6145" max="6145" width="14.44140625" style="4" customWidth="1"/>
    <col min="6146" max="6146" width="12.21875" style="4" customWidth="1"/>
    <col min="6147" max="6148" width="11.77734375" style="4" customWidth="1"/>
    <col min="6149" max="6397" width="9.21875" style="4"/>
    <col min="6398" max="6398" width="6.44140625" style="4" customWidth="1"/>
    <col min="6399" max="6399" width="47.77734375" style="4" customWidth="1"/>
    <col min="6400" max="6400" width="12.77734375" style="4" customWidth="1"/>
    <col min="6401" max="6401" width="14.44140625" style="4" customWidth="1"/>
    <col min="6402" max="6402" width="12.21875" style="4" customWidth="1"/>
    <col min="6403" max="6404" width="11.77734375" style="4" customWidth="1"/>
    <col min="6405" max="6653" width="9.21875" style="4"/>
    <col min="6654" max="6654" width="6.44140625" style="4" customWidth="1"/>
    <col min="6655" max="6655" width="47.77734375" style="4" customWidth="1"/>
    <col min="6656" max="6656" width="12.77734375" style="4" customWidth="1"/>
    <col min="6657" max="6657" width="14.44140625" style="4" customWidth="1"/>
    <col min="6658" max="6658" width="12.21875" style="4" customWidth="1"/>
    <col min="6659" max="6660" width="11.77734375" style="4" customWidth="1"/>
    <col min="6661" max="6909" width="9.21875" style="4"/>
    <col min="6910" max="6910" width="6.44140625" style="4" customWidth="1"/>
    <col min="6911" max="6911" width="47.77734375" style="4" customWidth="1"/>
    <col min="6912" max="6912" width="12.77734375" style="4" customWidth="1"/>
    <col min="6913" max="6913" width="14.44140625" style="4" customWidth="1"/>
    <col min="6914" max="6914" width="12.21875" style="4" customWidth="1"/>
    <col min="6915" max="6916" width="11.77734375" style="4" customWidth="1"/>
    <col min="6917" max="7165" width="9.21875" style="4"/>
    <col min="7166" max="7166" width="6.44140625" style="4" customWidth="1"/>
    <col min="7167" max="7167" width="47.77734375" style="4" customWidth="1"/>
    <col min="7168" max="7168" width="12.77734375" style="4" customWidth="1"/>
    <col min="7169" max="7169" width="14.44140625" style="4" customWidth="1"/>
    <col min="7170" max="7170" width="12.21875" style="4" customWidth="1"/>
    <col min="7171" max="7172" width="11.77734375" style="4" customWidth="1"/>
    <col min="7173" max="7421" width="9.21875" style="4"/>
    <col min="7422" max="7422" width="6.44140625" style="4" customWidth="1"/>
    <col min="7423" max="7423" width="47.77734375" style="4" customWidth="1"/>
    <col min="7424" max="7424" width="12.77734375" style="4" customWidth="1"/>
    <col min="7425" max="7425" width="14.44140625" style="4" customWidth="1"/>
    <col min="7426" max="7426" width="12.21875" style="4" customWidth="1"/>
    <col min="7427" max="7428" width="11.77734375" style="4" customWidth="1"/>
    <col min="7429" max="7677" width="9.21875" style="4"/>
    <col min="7678" max="7678" width="6.44140625" style="4" customWidth="1"/>
    <col min="7679" max="7679" width="47.77734375" style="4" customWidth="1"/>
    <col min="7680" max="7680" width="12.77734375" style="4" customWidth="1"/>
    <col min="7681" max="7681" width="14.44140625" style="4" customWidth="1"/>
    <col min="7682" max="7682" width="12.21875" style="4" customWidth="1"/>
    <col min="7683" max="7684" width="11.77734375" style="4" customWidth="1"/>
    <col min="7685" max="7933" width="9.21875" style="4"/>
    <col min="7934" max="7934" width="6.44140625" style="4" customWidth="1"/>
    <col min="7935" max="7935" width="47.77734375" style="4" customWidth="1"/>
    <col min="7936" max="7936" width="12.77734375" style="4" customWidth="1"/>
    <col min="7937" max="7937" width="14.44140625" style="4" customWidth="1"/>
    <col min="7938" max="7938" width="12.21875" style="4" customWidth="1"/>
    <col min="7939" max="7940" width="11.77734375" style="4" customWidth="1"/>
    <col min="7941" max="8189" width="9.21875" style="4"/>
    <col min="8190" max="8190" width="6.44140625" style="4" customWidth="1"/>
    <col min="8191" max="8191" width="47.77734375" style="4" customWidth="1"/>
    <col min="8192" max="8192" width="12.77734375" style="4" customWidth="1"/>
    <col min="8193" max="8193" width="14.44140625" style="4" customWidth="1"/>
    <col min="8194" max="8194" width="12.21875" style="4" customWidth="1"/>
    <col min="8195" max="8196" width="11.77734375" style="4" customWidth="1"/>
    <col min="8197" max="8445" width="9.21875" style="4"/>
    <col min="8446" max="8446" width="6.44140625" style="4" customWidth="1"/>
    <col min="8447" max="8447" width="47.77734375" style="4" customWidth="1"/>
    <col min="8448" max="8448" width="12.77734375" style="4" customWidth="1"/>
    <col min="8449" max="8449" width="14.44140625" style="4" customWidth="1"/>
    <col min="8450" max="8450" width="12.21875" style="4" customWidth="1"/>
    <col min="8451" max="8452" width="11.77734375" style="4" customWidth="1"/>
    <col min="8453" max="8701" width="9.21875" style="4"/>
    <col min="8702" max="8702" width="6.44140625" style="4" customWidth="1"/>
    <col min="8703" max="8703" width="47.77734375" style="4" customWidth="1"/>
    <col min="8704" max="8704" width="12.77734375" style="4" customWidth="1"/>
    <col min="8705" max="8705" width="14.44140625" style="4" customWidth="1"/>
    <col min="8706" max="8706" width="12.21875" style="4" customWidth="1"/>
    <col min="8707" max="8708" width="11.77734375" style="4" customWidth="1"/>
    <col min="8709" max="8957" width="9.21875" style="4"/>
    <col min="8958" max="8958" width="6.44140625" style="4" customWidth="1"/>
    <col min="8959" max="8959" width="47.77734375" style="4" customWidth="1"/>
    <col min="8960" max="8960" width="12.77734375" style="4" customWidth="1"/>
    <col min="8961" max="8961" width="14.44140625" style="4" customWidth="1"/>
    <col min="8962" max="8962" width="12.21875" style="4" customWidth="1"/>
    <col min="8963" max="8964" width="11.77734375" style="4" customWidth="1"/>
    <col min="8965" max="9213" width="9.21875" style="4"/>
    <col min="9214" max="9214" width="6.44140625" style="4" customWidth="1"/>
    <col min="9215" max="9215" width="47.77734375" style="4" customWidth="1"/>
    <col min="9216" max="9216" width="12.77734375" style="4" customWidth="1"/>
    <col min="9217" max="9217" width="14.44140625" style="4" customWidth="1"/>
    <col min="9218" max="9218" width="12.21875" style="4" customWidth="1"/>
    <col min="9219" max="9220" width="11.77734375" style="4" customWidth="1"/>
    <col min="9221" max="9469" width="9.21875" style="4"/>
    <col min="9470" max="9470" width="6.44140625" style="4" customWidth="1"/>
    <col min="9471" max="9471" width="47.77734375" style="4" customWidth="1"/>
    <col min="9472" max="9472" width="12.77734375" style="4" customWidth="1"/>
    <col min="9473" max="9473" width="14.44140625" style="4" customWidth="1"/>
    <col min="9474" max="9474" width="12.21875" style="4" customWidth="1"/>
    <col min="9475" max="9476" width="11.77734375" style="4" customWidth="1"/>
    <col min="9477" max="9725" width="9.21875" style="4"/>
    <col min="9726" max="9726" width="6.44140625" style="4" customWidth="1"/>
    <col min="9727" max="9727" width="47.77734375" style="4" customWidth="1"/>
    <col min="9728" max="9728" width="12.77734375" style="4" customWidth="1"/>
    <col min="9729" max="9729" width="14.44140625" style="4" customWidth="1"/>
    <col min="9730" max="9730" width="12.21875" style="4" customWidth="1"/>
    <col min="9731" max="9732" width="11.77734375" style="4" customWidth="1"/>
    <col min="9733" max="9981" width="9.21875" style="4"/>
    <col min="9982" max="9982" width="6.44140625" style="4" customWidth="1"/>
    <col min="9983" max="9983" width="47.77734375" style="4" customWidth="1"/>
    <col min="9984" max="9984" width="12.77734375" style="4" customWidth="1"/>
    <col min="9985" max="9985" width="14.44140625" style="4" customWidth="1"/>
    <col min="9986" max="9986" width="12.21875" style="4" customWidth="1"/>
    <col min="9987" max="9988" width="11.77734375" style="4" customWidth="1"/>
    <col min="9989" max="10237" width="9.21875" style="4"/>
    <col min="10238" max="10238" width="6.44140625" style="4" customWidth="1"/>
    <col min="10239" max="10239" width="47.77734375" style="4" customWidth="1"/>
    <col min="10240" max="10240" width="12.77734375" style="4" customWidth="1"/>
    <col min="10241" max="10241" width="14.44140625" style="4" customWidth="1"/>
    <col min="10242" max="10242" width="12.21875" style="4" customWidth="1"/>
    <col min="10243" max="10244" width="11.77734375" style="4" customWidth="1"/>
    <col min="10245" max="10493" width="9.21875" style="4"/>
    <col min="10494" max="10494" width="6.44140625" style="4" customWidth="1"/>
    <col min="10495" max="10495" width="47.77734375" style="4" customWidth="1"/>
    <col min="10496" max="10496" width="12.77734375" style="4" customWidth="1"/>
    <col min="10497" max="10497" width="14.44140625" style="4" customWidth="1"/>
    <col min="10498" max="10498" width="12.21875" style="4" customWidth="1"/>
    <col min="10499" max="10500" width="11.77734375" style="4" customWidth="1"/>
    <col min="10501" max="10749" width="9.21875" style="4"/>
    <col min="10750" max="10750" width="6.44140625" style="4" customWidth="1"/>
    <col min="10751" max="10751" width="47.77734375" style="4" customWidth="1"/>
    <col min="10752" max="10752" width="12.77734375" style="4" customWidth="1"/>
    <col min="10753" max="10753" width="14.44140625" style="4" customWidth="1"/>
    <col min="10754" max="10754" width="12.21875" style="4" customWidth="1"/>
    <col min="10755" max="10756" width="11.77734375" style="4" customWidth="1"/>
    <col min="10757" max="11005" width="9.21875" style="4"/>
    <col min="11006" max="11006" width="6.44140625" style="4" customWidth="1"/>
    <col min="11007" max="11007" width="47.77734375" style="4" customWidth="1"/>
    <col min="11008" max="11008" width="12.77734375" style="4" customWidth="1"/>
    <col min="11009" max="11009" width="14.44140625" style="4" customWidth="1"/>
    <col min="11010" max="11010" width="12.21875" style="4" customWidth="1"/>
    <col min="11011" max="11012" width="11.77734375" style="4" customWidth="1"/>
    <col min="11013" max="11261" width="9.21875" style="4"/>
    <col min="11262" max="11262" width="6.44140625" style="4" customWidth="1"/>
    <col min="11263" max="11263" width="47.77734375" style="4" customWidth="1"/>
    <col min="11264" max="11264" width="12.77734375" style="4" customWidth="1"/>
    <col min="11265" max="11265" width="14.44140625" style="4" customWidth="1"/>
    <col min="11266" max="11266" width="12.21875" style="4" customWidth="1"/>
    <col min="11267" max="11268" width="11.77734375" style="4" customWidth="1"/>
    <col min="11269" max="11517" width="9.21875" style="4"/>
    <col min="11518" max="11518" width="6.44140625" style="4" customWidth="1"/>
    <col min="11519" max="11519" width="47.77734375" style="4" customWidth="1"/>
    <col min="11520" max="11520" width="12.77734375" style="4" customWidth="1"/>
    <col min="11521" max="11521" width="14.44140625" style="4" customWidth="1"/>
    <col min="11522" max="11522" width="12.21875" style="4" customWidth="1"/>
    <col min="11523" max="11524" width="11.77734375" style="4" customWidth="1"/>
    <col min="11525" max="11773" width="9.21875" style="4"/>
    <col min="11774" max="11774" width="6.44140625" style="4" customWidth="1"/>
    <col min="11775" max="11775" width="47.77734375" style="4" customWidth="1"/>
    <col min="11776" max="11776" width="12.77734375" style="4" customWidth="1"/>
    <col min="11777" max="11777" width="14.44140625" style="4" customWidth="1"/>
    <col min="11778" max="11778" width="12.21875" style="4" customWidth="1"/>
    <col min="11779" max="11780" width="11.77734375" style="4" customWidth="1"/>
    <col min="11781" max="12029" width="9.21875" style="4"/>
    <col min="12030" max="12030" width="6.44140625" style="4" customWidth="1"/>
    <col min="12031" max="12031" width="47.77734375" style="4" customWidth="1"/>
    <col min="12032" max="12032" width="12.77734375" style="4" customWidth="1"/>
    <col min="12033" max="12033" width="14.44140625" style="4" customWidth="1"/>
    <col min="12034" max="12034" width="12.21875" style="4" customWidth="1"/>
    <col min="12035" max="12036" width="11.77734375" style="4" customWidth="1"/>
    <col min="12037" max="12285" width="9.21875" style="4"/>
    <col min="12286" max="12286" width="6.44140625" style="4" customWidth="1"/>
    <col min="12287" max="12287" width="47.77734375" style="4" customWidth="1"/>
    <col min="12288" max="12288" width="12.77734375" style="4" customWidth="1"/>
    <col min="12289" max="12289" width="14.44140625" style="4" customWidth="1"/>
    <col min="12290" max="12290" width="12.21875" style="4" customWidth="1"/>
    <col min="12291" max="12292" width="11.77734375" style="4" customWidth="1"/>
    <col min="12293" max="12541" width="9.21875" style="4"/>
    <col min="12542" max="12542" width="6.44140625" style="4" customWidth="1"/>
    <col min="12543" max="12543" width="47.77734375" style="4" customWidth="1"/>
    <col min="12544" max="12544" width="12.77734375" style="4" customWidth="1"/>
    <col min="12545" max="12545" width="14.44140625" style="4" customWidth="1"/>
    <col min="12546" max="12546" width="12.21875" style="4" customWidth="1"/>
    <col min="12547" max="12548" width="11.77734375" style="4" customWidth="1"/>
    <col min="12549" max="12797" width="9.21875" style="4"/>
    <col min="12798" max="12798" width="6.44140625" style="4" customWidth="1"/>
    <col min="12799" max="12799" width="47.77734375" style="4" customWidth="1"/>
    <col min="12800" max="12800" width="12.77734375" style="4" customWidth="1"/>
    <col min="12801" max="12801" width="14.44140625" style="4" customWidth="1"/>
    <col min="12802" max="12802" width="12.21875" style="4" customWidth="1"/>
    <col min="12803" max="12804" width="11.77734375" style="4" customWidth="1"/>
    <col min="12805" max="13053" width="9.21875" style="4"/>
    <col min="13054" max="13054" width="6.44140625" style="4" customWidth="1"/>
    <col min="13055" max="13055" width="47.77734375" style="4" customWidth="1"/>
    <col min="13056" max="13056" width="12.77734375" style="4" customWidth="1"/>
    <col min="13057" max="13057" width="14.44140625" style="4" customWidth="1"/>
    <col min="13058" max="13058" width="12.21875" style="4" customWidth="1"/>
    <col min="13059" max="13060" width="11.77734375" style="4" customWidth="1"/>
    <col min="13061" max="13309" width="9.21875" style="4"/>
    <col min="13310" max="13310" width="6.44140625" style="4" customWidth="1"/>
    <col min="13311" max="13311" width="47.77734375" style="4" customWidth="1"/>
    <col min="13312" max="13312" width="12.77734375" style="4" customWidth="1"/>
    <col min="13313" max="13313" width="14.44140625" style="4" customWidth="1"/>
    <col min="13314" max="13314" width="12.21875" style="4" customWidth="1"/>
    <col min="13315" max="13316" width="11.77734375" style="4" customWidth="1"/>
    <col min="13317" max="13565" width="9.21875" style="4"/>
    <col min="13566" max="13566" width="6.44140625" style="4" customWidth="1"/>
    <col min="13567" max="13567" width="47.77734375" style="4" customWidth="1"/>
    <col min="13568" max="13568" width="12.77734375" style="4" customWidth="1"/>
    <col min="13569" max="13569" width="14.44140625" style="4" customWidth="1"/>
    <col min="13570" max="13570" width="12.21875" style="4" customWidth="1"/>
    <col min="13571" max="13572" width="11.77734375" style="4" customWidth="1"/>
    <col min="13573" max="13821" width="9.21875" style="4"/>
    <col min="13822" max="13822" width="6.44140625" style="4" customWidth="1"/>
    <col min="13823" max="13823" width="47.77734375" style="4" customWidth="1"/>
    <col min="13824" max="13824" width="12.77734375" style="4" customWidth="1"/>
    <col min="13825" max="13825" width="14.44140625" style="4" customWidth="1"/>
    <col min="13826" max="13826" width="12.21875" style="4" customWidth="1"/>
    <col min="13827" max="13828" width="11.77734375" style="4" customWidth="1"/>
    <col min="13829" max="14077" width="9.21875" style="4"/>
    <col min="14078" max="14078" width="6.44140625" style="4" customWidth="1"/>
    <col min="14079" max="14079" width="47.77734375" style="4" customWidth="1"/>
    <col min="14080" max="14080" width="12.77734375" style="4" customWidth="1"/>
    <col min="14081" max="14081" width="14.44140625" style="4" customWidth="1"/>
    <col min="14082" max="14082" width="12.21875" style="4" customWidth="1"/>
    <col min="14083" max="14084" width="11.77734375" style="4" customWidth="1"/>
    <col min="14085" max="14333" width="9.21875" style="4"/>
    <col min="14334" max="14334" width="6.44140625" style="4" customWidth="1"/>
    <col min="14335" max="14335" width="47.77734375" style="4" customWidth="1"/>
    <col min="14336" max="14336" width="12.77734375" style="4" customWidth="1"/>
    <col min="14337" max="14337" width="14.44140625" style="4" customWidth="1"/>
    <col min="14338" max="14338" width="12.21875" style="4" customWidth="1"/>
    <col min="14339" max="14340" width="11.77734375" style="4" customWidth="1"/>
    <col min="14341" max="14589" width="9.21875" style="4"/>
    <col min="14590" max="14590" width="6.44140625" style="4" customWidth="1"/>
    <col min="14591" max="14591" width="47.77734375" style="4" customWidth="1"/>
    <col min="14592" max="14592" width="12.77734375" style="4" customWidth="1"/>
    <col min="14593" max="14593" width="14.44140625" style="4" customWidth="1"/>
    <col min="14594" max="14594" width="12.21875" style="4" customWidth="1"/>
    <col min="14595" max="14596" width="11.77734375" style="4" customWidth="1"/>
    <col min="14597" max="14845" width="9.21875" style="4"/>
    <col min="14846" max="14846" width="6.44140625" style="4" customWidth="1"/>
    <col min="14847" max="14847" width="47.77734375" style="4" customWidth="1"/>
    <col min="14848" max="14848" width="12.77734375" style="4" customWidth="1"/>
    <col min="14849" max="14849" width="14.44140625" style="4" customWidth="1"/>
    <col min="14850" max="14850" width="12.21875" style="4" customWidth="1"/>
    <col min="14851" max="14852" width="11.77734375" style="4" customWidth="1"/>
    <col min="14853" max="15101" width="9.21875" style="4"/>
    <col min="15102" max="15102" width="6.44140625" style="4" customWidth="1"/>
    <col min="15103" max="15103" width="47.77734375" style="4" customWidth="1"/>
    <col min="15104" max="15104" width="12.77734375" style="4" customWidth="1"/>
    <col min="15105" max="15105" width="14.44140625" style="4" customWidth="1"/>
    <col min="15106" max="15106" width="12.21875" style="4" customWidth="1"/>
    <col min="15107" max="15108" width="11.77734375" style="4" customWidth="1"/>
    <col min="15109" max="15357" width="9.21875" style="4"/>
    <col min="15358" max="15358" width="6.44140625" style="4" customWidth="1"/>
    <col min="15359" max="15359" width="47.77734375" style="4" customWidth="1"/>
    <col min="15360" max="15360" width="12.77734375" style="4" customWidth="1"/>
    <col min="15361" max="15361" width="14.44140625" style="4" customWidth="1"/>
    <col min="15362" max="15362" width="12.21875" style="4" customWidth="1"/>
    <col min="15363" max="15364" width="11.77734375" style="4" customWidth="1"/>
    <col min="15365" max="15613" width="9.21875" style="4"/>
    <col min="15614" max="15614" width="6.44140625" style="4" customWidth="1"/>
    <col min="15615" max="15615" width="47.77734375" style="4" customWidth="1"/>
    <col min="15616" max="15616" width="12.77734375" style="4" customWidth="1"/>
    <col min="15617" max="15617" width="14.44140625" style="4" customWidth="1"/>
    <col min="15618" max="15618" width="12.21875" style="4" customWidth="1"/>
    <col min="15619" max="15620" width="11.77734375" style="4" customWidth="1"/>
    <col min="15621" max="15869" width="9.21875" style="4"/>
    <col min="15870" max="15870" width="6.44140625" style="4" customWidth="1"/>
    <col min="15871" max="15871" width="47.77734375" style="4" customWidth="1"/>
    <col min="15872" max="15872" width="12.77734375" style="4" customWidth="1"/>
    <col min="15873" max="15873" width="14.44140625" style="4" customWidth="1"/>
    <col min="15874" max="15874" width="12.21875" style="4" customWidth="1"/>
    <col min="15875" max="15876" width="11.77734375" style="4" customWidth="1"/>
    <col min="15877" max="16125" width="9.21875" style="4"/>
    <col min="16126" max="16126" width="6.44140625" style="4" customWidth="1"/>
    <col min="16127" max="16127" width="47.77734375" style="4" customWidth="1"/>
    <col min="16128" max="16128" width="12.77734375" style="4" customWidth="1"/>
    <col min="16129" max="16129" width="14.44140625" style="4" customWidth="1"/>
    <col min="16130" max="16130" width="12.21875" style="4" customWidth="1"/>
    <col min="16131" max="16132" width="11.77734375" style="4" customWidth="1"/>
    <col min="16133" max="16384" width="9.21875" style="4"/>
  </cols>
  <sheetData>
    <row r="1" spans="1:6" ht="27" customHeight="1" x14ac:dyDescent="0.25">
      <c r="A1" s="249" t="s">
        <v>515</v>
      </c>
      <c r="B1" s="249"/>
      <c r="C1" s="249"/>
      <c r="D1" s="249"/>
      <c r="E1" s="249"/>
      <c r="F1" s="249"/>
    </row>
    <row r="2" spans="1:6" ht="26.55" customHeight="1" x14ac:dyDescent="0.25">
      <c r="A2" s="241" t="s">
        <v>85</v>
      </c>
      <c r="B2" s="241" t="s">
        <v>90</v>
      </c>
      <c r="C2" s="81" t="s">
        <v>245</v>
      </c>
      <c r="D2" s="250" t="s">
        <v>232</v>
      </c>
      <c r="E2" s="250"/>
      <c r="F2" s="250"/>
    </row>
    <row r="3" spans="1:6" ht="40.049999999999997" customHeight="1" x14ac:dyDescent="0.25">
      <c r="A3" s="242"/>
      <c r="B3" s="242"/>
      <c r="C3" s="33" t="s">
        <v>520</v>
      </c>
      <c r="D3" s="33" t="s">
        <v>521</v>
      </c>
      <c r="E3" s="155" t="s">
        <v>500</v>
      </c>
      <c r="F3" s="33" t="s">
        <v>522</v>
      </c>
    </row>
    <row r="4" spans="1:6" x14ac:dyDescent="0.25">
      <c r="A4" s="115">
        <v>1</v>
      </c>
      <c r="B4" s="115">
        <v>2</v>
      </c>
      <c r="C4" s="72"/>
      <c r="D4" s="91"/>
      <c r="E4" s="72"/>
      <c r="F4" s="72"/>
    </row>
    <row r="5" spans="1:6" x14ac:dyDescent="0.25">
      <c r="A5" s="30" t="s">
        <v>1</v>
      </c>
      <c r="B5" s="84" t="s">
        <v>106</v>
      </c>
      <c r="C5" s="77">
        <v>3440.87</v>
      </c>
      <c r="D5" s="77">
        <v>3699.88</v>
      </c>
      <c r="E5" s="78">
        <v>60.9</v>
      </c>
      <c r="F5" s="77">
        <f>D5-E5</f>
        <v>3638.98</v>
      </c>
    </row>
    <row r="6" spans="1:6" x14ac:dyDescent="0.25">
      <c r="A6" s="30" t="s">
        <v>2</v>
      </c>
      <c r="B6" s="84" t="s">
        <v>233</v>
      </c>
      <c r="C6" s="77">
        <v>4093.45</v>
      </c>
      <c r="D6" s="77">
        <v>4385.72</v>
      </c>
      <c r="E6" s="77">
        <v>238.46</v>
      </c>
      <c r="F6" s="77">
        <f>D6-E6</f>
        <v>4147.26</v>
      </c>
    </row>
    <row r="7" spans="1:6" x14ac:dyDescent="0.25">
      <c r="A7" s="30"/>
      <c r="B7" s="84" t="s">
        <v>107</v>
      </c>
      <c r="C7" s="77"/>
      <c r="D7" s="78"/>
      <c r="E7" s="72"/>
      <c r="F7" s="72"/>
    </row>
    <row r="8" spans="1:6" ht="26.4" x14ac:dyDescent="0.25">
      <c r="A8" s="30" t="s">
        <v>3</v>
      </c>
      <c r="B8" s="84" t="s">
        <v>596</v>
      </c>
      <c r="C8" s="77">
        <v>518.66999999999996</v>
      </c>
      <c r="D8" s="78">
        <f>128.26+1419.45+1186</f>
        <v>2733.71</v>
      </c>
      <c r="E8" s="72"/>
      <c r="F8" s="77">
        <f>D8-E8</f>
        <v>2733.71</v>
      </c>
    </row>
    <row r="9" spans="1:6" x14ac:dyDescent="0.25">
      <c r="A9" s="30"/>
      <c r="B9" s="84" t="s">
        <v>394</v>
      </c>
      <c r="C9" s="73"/>
      <c r="D9" s="72"/>
      <c r="E9" s="72"/>
      <c r="F9" s="72"/>
    </row>
    <row r="10" spans="1:6" x14ac:dyDescent="0.25">
      <c r="A10" s="30" t="s">
        <v>88</v>
      </c>
      <c r="B10" s="84" t="s">
        <v>108</v>
      </c>
      <c r="C10" s="74"/>
      <c r="D10" s="74"/>
      <c r="E10" s="72"/>
      <c r="F10" s="72"/>
    </row>
    <row r="11" spans="1:6" x14ac:dyDescent="0.25">
      <c r="A11" s="30" t="s">
        <v>92</v>
      </c>
      <c r="B11" s="84" t="s">
        <v>109</v>
      </c>
      <c r="C11" s="77">
        <f>C12+C13</f>
        <v>280.06</v>
      </c>
      <c r="D11" s="77">
        <f>D12+D13</f>
        <v>292.56</v>
      </c>
      <c r="E11" s="77">
        <f>E12+E13</f>
        <v>6.79</v>
      </c>
      <c r="F11" s="77">
        <f>F12+F13</f>
        <v>285.77</v>
      </c>
    </row>
    <row r="12" spans="1:6" x14ac:dyDescent="0.25">
      <c r="A12" s="30" t="s">
        <v>110</v>
      </c>
      <c r="B12" s="84" t="s">
        <v>111</v>
      </c>
      <c r="C12" s="73">
        <v>51.22</v>
      </c>
      <c r="D12" s="73">
        <v>46.17</v>
      </c>
      <c r="E12" s="72">
        <v>1.07</v>
      </c>
      <c r="F12" s="77">
        <f>D12-E12</f>
        <v>45.1</v>
      </c>
    </row>
    <row r="13" spans="1:6" x14ac:dyDescent="0.25">
      <c r="A13" s="30" t="s">
        <v>112</v>
      </c>
      <c r="B13" s="84" t="s">
        <v>113</v>
      </c>
      <c r="C13" s="73">
        <v>228.84</v>
      </c>
      <c r="D13" s="73">
        <v>246.39</v>
      </c>
      <c r="E13" s="72">
        <v>5.72</v>
      </c>
      <c r="F13" s="77">
        <f>D13-E13</f>
        <v>240.67</v>
      </c>
    </row>
    <row r="14" spans="1:6" x14ac:dyDescent="0.25">
      <c r="A14" s="30" t="s">
        <v>94</v>
      </c>
      <c r="B14" s="84" t="s">
        <v>114</v>
      </c>
      <c r="C14" s="77">
        <v>45390.03</v>
      </c>
      <c r="D14" s="77">
        <v>46208.18</v>
      </c>
      <c r="E14" s="78">
        <v>164.4</v>
      </c>
      <c r="F14" s="77">
        <f>D14-E14</f>
        <v>46043.78</v>
      </c>
    </row>
    <row r="15" spans="1:6" x14ac:dyDescent="0.25">
      <c r="A15" s="30"/>
      <c r="B15" s="84" t="s">
        <v>401</v>
      </c>
      <c r="C15" s="73"/>
      <c r="D15" s="73">
        <v>567.42999999999995</v>
      </c>
      <c r="E15" s="72"/>
      <c r="F15" s="77">
        <f>D15-E15</f>
        <v>567.42999999999995</v>
      </c>
    </row>
    <row r="16" spans="1:6" x14ac:dyDescent="0.25">
      <c r="A16" s="30"/>
      <c r="B16" s="84" t="s">
        <v>107</v>
      </c>
      <c r="C16" s="73"/>
      <c r="D16" s="72"/>
      <c r="E16" s="72"/>
      <c r="F16" s="72"/>
    </row>
    <row r="17" spans="1:6" x14ac:dyDescent="0.25">
      <c r="A17" s="30" t="s">
        <v>501</v>
      </c>
      <c r="B17" s="85" t="s">
        <v>115</v>
      </c>
      <c r="C17" s="77">
        <v>13798.57</v>
      </c>
      <c r="D17" s="77">
        <v>13495.43</v>
      </c>
      <c r="E17" s="78">
        <v>50</v>
      </c>
      <c r="F17" s="77">
        <f>D17-E17</f>
        <v>13445.43</v>
      </c>
    </row>
    <row r="18" spans="1:6" x14ac:dyDescent="0.25">
      <c r="A18" s="30"/>
      <c r="B18" s="84" t="s">
        <v>107</v>
      </c>
      <c r="C18" s="73"/>
      <c r="D18" s="72"/>
      <c r="E18" s="72"/>
      <c r="F18" s="72"/>
    </row>
    <row r="19" spans="1:6" x14ac:dyDescent="0.25">
      <c r="A19" s="30" t="s">
        <v>95</v>
      </c>
      <c r="B19" s="86" t="s">
        <v>116</v>
      </c>
      <c r="C19" s="73">
        <v>5891.47</v>
      </c>
      <c r="D19" s="73">
        <v>5973</v>
      </c>
      <c r="E19" s="72"/>
      <c r="F19" s="77">
        <f>D19-E19</f>
        <v>5973</v>
      </c>
    </row>
    <row r="20" spans="1:6" x14ac:dyDescent="0.25">
      <c r="A20" s="30" t="s">
        <v>96</v>
      </c>
      <c r="B20" s="84" t="s">
        <v>117</v>
      </c>
      <c r="C20" s="77">
        <f>C22+C23+C24+C27+C31</f>
        <v>17665.89</v>
      </c>
      <c r="D20" s="77">
        <f>D22+D23+D24+D27+D31</f>
        <v>17624.650000000001</v>
      </c>
      <c r="E20" s="77">
        <f>E22+E23+E24+E27+E31</f>
        <v>22.33</v>
      </c>
      <c r="F20" s="77">
        <f>F22+F23+F24+F27+F31</f>
        <v>17602.32</v>
      </c>
    </row>
    <row r="21" spans="1:6" ht="39.6" x14ac:dyDescent="0.25">
      <c r="A21" s="87" t="s">
        <v>118</v>
      </c>
      <c r="B21" s="88" t="s">
        <v>378</v>
      </c>
      <c r="C21" s="74"/>
      <c r="D21" s="74"/>
      <c r="E21" s="72"/>
      <c r="F21" s="74"/>
    </row>
    <row r="22" spans="1:6" x14ac:dyDescent="0.25">
      <c r="A22" s="30" t="s">
        <v>119</v>
      </c>
      <c r="B22" s="84" t="s">
        <v>275</v>
      </c>
      <c r="C22" s="73">
        <v>54.91</v>
      </c>
      <c r="D22" s="73">
        <f>44.16+0.3+12.98</f>
        <v>57.44</v>
      </c>
      <c r="E22" s="72"/>
      <c r="F22" s="77">
        <f>D22-E22</f>
        <v>57.44</v>
      </c>
    </row>
    <row r="23" spans="1:6" ht="26.4" x14ac:dyDescent="0.25">
      <c r="A23" s="30" t="s">
        <v>120</v>
      </c>
      <c r="B23" s="84" t="s">
        <v>121</v>
      </c>
      <c r="C23" s="73">
        <v>19.38</v>
      </c>
      <c r="D23" s="72">
        <v>5.95</v>
      </c>
      <c r="E23" s="72"/>
      <c r="F23" s="77">
        <f>D23-E23</f>
        <v>5.95</v>
      </c>
    </row>
    <row r="24" spans="1:6" ht="132" x14ac:dyDescent="0.25">
      <c r="A24" s="87" t="s">
        <v>235</v>
      </c>
      <c r="B24" s="84" t="s">
        <v>236</v>
      </c>
      <c r="C24" s="73">
        <v>10669.59</v>
      </c>
      <c r="D24" s="73">
        <v>10470.9</v>
      </c>
      <c r="E24" s="72"/>
      <c r="F24" s="77">
        <f>D24-E24</f>
        <v>10470.9</v>
      </c>
    </row>
    <row r="25" spans="1:6" ht="26.4" x14ac:dyDescent="0.25">
      <c r="A25" s="30" t="s">
        <v>237</v>
      </c>
      <c r="B25" s="84" t="s">
        <v>238</v>
      </c>
      <c r="C25" s="73"/>
      <c r="D25" s="75"/>
      <c r="E25" s="72"/>
      <c r="F25" s="75"/>
    </row>
    <row r="26" spans="1:6" x14ac:dyDescent="0.25">
      <c r="A26" s="30" t="s">
        <v>239</v>
      </c>
      <c r="B26" s="84" t="s">
        <v>240</v>
      </c>
      <c r="C26" s="73"/>
      <c r="D26" s="73"/>
      <c r="E26" s="72"/>
      <c r="F26" s="73"/>
    </row>
    <row r="27" spans="1:6" ht="26.4" x14ac:dyDescent="0.25">
      <c r="A27" s="30" t="s">
        <v>122</v>
      </c>
      <c r="B27" s="84" t="s">
        <v>123</v>
      </c>
      <c r="C27" s="77">
        <f>C29+C30</f>
        <v>2820.8</v>
      </c>
      <c r="D27" s="77">
        <f>D29+D30</f>
        <v>2598.34</v>
      </c>
      <c r="E27" s="72"/>
      <c r="F27" s="77">
        <f>F29+F30</f>
        <v>2598.34</v>
      </c>
    </row>
    <row r="28" spans="1:6" x14ac:dyDescent="0.25">
      <c r="A28" s="30" t="s">
        <v>124</v>
      </c>
      <c r="B28" s="84" t="s">
        <v>125</v>
      </c>
      <c r="C28" s="73"/>
      <c r="D28" s="72"/>
      <c r="E28" s="72"/>
      <c r="F28" s="72"/>
    </row>
    <row r="29" spans="1:6" x14ac:dyDescent="0.25">
      <c r="A29" s="30" t="s">
        <v>126</v>
      </c>
      <c r="B29" s="84" t="s">
        <v>127</v>
      </c>
      <c r="C29" s="73">
        <v>48.8</v>
      </c>
      <c r="D29" s="73">
        <v>47.34</v>
      </c>
      <c r="E29" s="72"/>
      <c r="F29" s="77">
        <f>D29-E29</f>
        <v>47.34</v>
      </c>
    </row>
    <row r="30" spans="1:6" x14ac:dyDescent="0.25">
      <c r="A30" s="30" t="s">
        <v>128</v>
      </c>
      <c r="B30" s="84" t="s">
        <v>129</v>
      </c>
      <c r="C30" s="73">
        <v>2772</v>
      </c>
      <c r="D30" s="73">
        <v>2551</v>
      </c>
      <c r="E30" s="72"/>
      <c r="F30" s="77">
        <f>D30-E30</f>
        <v>2551</v>
      </c>
    </row>
    <row r="31" spans="1:6" ht="26.4" x14ac:dyDescent="0.25">
      <c r="A31" s="30" t="s">
        <v>130</v>
      </c>
      <c r="B31" s="84" t="s">
        <v>241</v>
      </c>
      <c r="C31" s="77">
        <f>2948.19+1153.02</f>
        <v>4101.21</v>
      </c>
      <c r="D31" s="77">
        <v>4492.0200000000004</v>
      </c>
      <c r="E31" s="78">
        <v>22.33</v>
      </c>
      <c r="F31" s="77">
        <f>D31-E31</f>
        <v>4469.6900000000005</v>
      </c>
    </row>
    <row r="32" spans="1:6" x14ac:dyDescent="0.25">
      <c r="A32" s="30" t="s">
        <v>131</v>
      </c>
      <c r="B32" s="84" t="s">
        <v>242</v>
      </c>
      <c r="C32" s="73"/>
      <c r="D32" s="78"/>
      <c r="E32" s="72"/>
      <c r="F32" s="78"/>
    </row>
    <row r="33" spans="1:6" x14ac:dyDescent="0.25">
      <c r="A33" s="30" t="s">
        <v>243</v>
      </c>
      <c r="B33" s="84" t="s">
        <v>465</v>
      </c>
      <c r="C33" s="73">
        <v>1153.02</v>
      </c>
      <c r="D33" s="72">
        <v>1153.02</v>
      </c>
      <c r="E33" s="72"/>
      <c r="F33" s="77">
        <f>D33-E33</f>
        <v>1153.02</v>
      </c>
    </row>
    <row r="34" spans="1:6" ht="27.6" x14ac:dyDescent="0.3">
      <c r="A34" s="32" t="s">
        <v>386</v>
      </c>
      <c r="B34" s="114" t="s">
        <v>333</v>
      </c>
      <c r="C34" s="73"/>
      <c r="D34" s="72"/>
      <c r="E34" s="72"/>
      <c r="F34" s="72"/>
    </row>
    <row r="35" spans="1:6" x14ac:dyDescent="0.25">
      <c r="A35" s="30" t="s">
        <v>97</v>
      </c>
      <c r="B35" s="89" t="s">
        <v>132</v>
      </c>
      <c r="C35" s="77">
        <f>C5+C6+C8+C11+C14+C17+C19+C20</f>
        <v>91079.01</v>
      </c>
      <c r="D35" s="77">
        <f>D5+D6+D8+D11+D14+D17+D19+D20+D34</f>
        <v>94413.13</v>
      </c>
      <c r="E35" s="77">
        <f>E5+E6+E8+E11+E14+E17+E19+E20+E34</f>
        <v>542.88000000000011</v>
      </c>
      <c r="F35" s="77">
        <f>F5+F6+F8+F11+F14+F17+F19+F20+F34</f>
        <v>93870.25</v>
      </c>
    </row>
    <row r="36" spans="1:6" ht="26.4" x14ac:dyDescent="0.25">
      <c r="A36" s="30" t="s">
        <v>98</v>
      </c>
      <c r="B36" s="84" t="s">
        <v>133</v>
      </c>
      <c r="C36" s="73">
        <v>-6347.52</v>
      </c>
      <c r="D36" s="72"/>
      <c r="E36" s="72"/>
      <c r="F36" s="72"/>
    </row>
    <row r="37" spans="1:6" ht="26.4" x14ac:dyDescent="0.25">
      <c r="A37" s="30" t="s">
        <v>134</v>
      </c>
      <c r="B37" s="84" t="s">
        <v>135</v>
      </c>
      <c r="C37" s="72"/>
      <c r="D37" s="72"/>
      <c r="E37" s="72"/>
      <c r="F37" s="72"/>
    </row>
    <row r="38" spans="1:6" x14ac:dyDescent="0.25">
      <c r="A38" s="30"/>
      <c r="B38" s="84"/>
      <c r="C38" s="72"/>
      <c r="D38" s="72"/>
      <c r="E38" s="72"/>
      <c r="F38" s="72"/>
    </row>
    <row r="39" spans="1:6" ht="26.4" x14ac:dyDescent="0.25">
      <c r="A39" s="31" t="s">
        <v>136</v>
      </c>
      <c r="B39" s="84" t="s">
        <v>137</v>
      </c>
      <c r="C39" s="77">
        <f>C35+C37+C36</f>
        <v>84731.489999999991</v>
      </c>
      <c r="D39" s="77">
        <f>D35+D36</f>
        <v>94413.13</v>
      </c>
      <c r="E39" s="77">
        <f>E35+E36</f>
        <v>542.88000000000011</v>
      </c>
      <c r="F39" s="77">
        <f>F35+F36</f>
        <v>93870.25</v>
      </c>
    </row>
    <row r="40" spans="1:6" x14ac:dyDescent="0.25">
      <c r="A40" s="30"/>
      <c r="B40" s="84" t="s">
        <v>138</v>
      </c>
      <c r="C40" s="72"/>
      <c r="D40" s="72"/>
      <c r="E40" s="72"/>
      <c r="F40" s="72"/>
    </row>
    <row r="41" spans="1:6" x14ac:dyDescent="0.25">
      <c r="A41" s="32" t="s">
        <v>139</v>
      </c>
      <c r="B41" s="84" t="s">
        <v>140</v>
      </c>
      <c r="C41" s="72"/>
      <c r="D41" s="72"/>
      <c r="E41" s="72"/>
      <c r="F41" s="72"/>
    </row>
    <row r="42" spans="1:6" x14ac:dyDescent="0.25">
      <c r="A42" s="32" t="s">
        <v>141</v>
      </c>
      <c r="B42" s="84" t="s">
        <v>142</v>
      </c>
      <c r="C42" s="72"/>
      <c r="D42" s="72"/>
      <c r="E42" s="72"/>
      <c r="F42" s="72"/>
    </row>
    <row r="43" spans="1:6" x14ac:dyDescent="0.25">
      <c r="A43" s="32" t="s">
        <v>143</v>
      </c>
      <c r="B43" s="84" t="s">
        <v>144</v>
      </c>
      <c r="C43" s="72"/>
      <c r="D43" s="72"/>
      <c r="E43" s="72"/>
      <c r="F43" s="72"/>
    </row>
    <row r="44" spans="1:6" x14ac:dyDescent="0.25">
      <c r="A44" s="32" t="s">
        <v>145</v>
      </c>
      <c r="B44" s="84" t="s">
        <v>146</v>
      </c>
      <c r="C44" s="72"/>
      <c r="D44" s="72"/>
      <c r="E44" s="72"/>
      <c r="F44" s="72"/>
    </row>
    <row r="45" spans="1:6" x14ac:dyDescent="0.25">
      <c r="A45" s="30" t="s">
        <v>147</v>
      </c>
      <c r="B45" s="84" t="s">
        <v>148</v>
      </c>
      <c r="C45" s="72"/>
      <c r="D45" s="72"/>
      <c r="E45" s="72"/>
      <c r="F45" s="72"/>
    </row>
    <row r="46" spans="1:6" x14ac:dyDescent="0.25">
      <c r="A46" s="32" t="s">
        <v>149</v>
      </c>
      <c r="B46" s="84" t="s">
        <v>150</v>
      </c>
      <c r="C46" s="72"/>
      <c r="D46" s="72"/>
      <c r="E46" s="72"/>
      <c r="F46" s="72"/>
    </row>
    <row r="47" spans="1:6" x14ac:dyDescent="0.25">
      <c r="A47" s="32" t="s">
        <v>151</v>
      </c>
      <c r="B47" s="84" t="s">
        <v>152</v>
      </c>
      <c r="C47" s="72"/>
      <c r="D47" s="72"/>
      <c r="E47" s="72"/>
      <c r="F47" s="72"/>
    </row>
    <row r="48" spans="1:6" x14ac:dyDescent="0.25">
      <c r="A48" s="32" t="s">
        <v>153</v>
      </c>
      <c r="B48" s="84" t="s">
        <v>154</v>
      </c>
      <c r="C48" s="72"/>
      <c r="D48" s="72"/>
      <c r="E48" s="72"/>
      <c r="F48" s="72"/>
    </row>
    <row r="49" spans="1:9" x14ac:dyDescent="0.25">
      <c r="A49" s="30" t="s">
        <v>155</v>
      </c>
      <c r="B49" s="84" t="s">
        <v>156</v>
      </c>
      <c r="C49" s="72"/>
      <c r="D49" s="72"/>
      <c r="E49" s="72"/>
      <c r="F49" s="72"/>
    </row>
    <row r="50" spans="1:9" x14ac:dyDescent="0.25">
      <c r="A50" s="113"/>
      <c r="B50" s="90" t="s">
        <v>157</v>
      </c>
      <c r="C50" s="77">
        <f>101.3+445.93+111.48</f>
        <v>658.71</v>
      </c>
      <c r="D50" s="77">
        <v>558.32000000000005</v>
      </c>
      <c r="E50" s="72"/>
      <c r="F50" s="77">
        <f>D50-E50</f>
        <v>558.32000000000005</v>
      </c>
    </row>
    <row r="51" spans="1:9" x14ac:dyDescent="0.25">
      <c r="A51" s="91"/>
      <c r="B51" s="89" t="s">
        <v>158</v>
      </c>
      <c r="C51" s="77">
        <f>C39+C50</f>
        <v>85390.2</v>
      </c>
      <c r="D51" s="77">
        <f>D39+D50</f>
        <v>94971.450000000012</v>
      </c>
      <c r="E51" s="77">
        <f>E39+E50</f>
        <v>542.88000000000011</v>
      </c>
      <c r="F51" s="77">
        <f>F39+F50</f>
        <v>94428.57</v>
      </c>
    </row>
    <row r="52" spans="1:9" x14ac:dyDescent="0.25">
      <c r="B52" s="79"/>
      <c r="C52" s="80"/>
      <c r="D52" s="80"/>
      <c r="E52" s="80"/>
    </row>
    <row r="53" spans="1:9" x14ac:dyDescent="0.25">
      <c r="A53" s="4" t="s">
        <v>0</v>
      </c>
      <c r="B53" s="92"/>
      <c r="C53" s="4" t="s">
        <v>227</v>
      </c>
    </row>
    <row r="55" spans="1:9" ht="15.6" x14ac:dyDescent="0.3">
      <c r="A55" s="45" t="s">
        <v>274</v>
      </c>
    </row>
    <row r="56" spans="1:9" x14ac:dyDescent="0.25">
      <c r="A56" s="124" t="s">
        <v>387</v>
      </c>
    </row>
    <row r="57" spans="1:9" ht="26.55" customHeight="1" x14ac:dyDescent="0.25">
      <c r="A57" s="241" t="s">
        <v>85</v>
      </c>
      <c r="B57" s="241" t="s">
        <v>90</v>
      </c>
      <c r="C57" s="81" t="s">
        <v>245</v>
      </c>
      <c r="D57" s="251" t="s">
        <v>232</v>
      </c>
      <c r="E57" s="252"/>
      <c r="F57" s="253"/>
    </row>
    <row r="58" spans="1:9" ht="38.4" customHeight="1" x14ac:dyDescent="0.25">
      <c r="A58" s="242"/>
      <c r="B58" s="242"/>
      <c r="C58" s="33" t="s">
        <v>520</v>
      </c>
      <c r="D58" s="33" t="s">
        <v>521</v>
      </c>
      <c r="E58" s="155" t="s">
        <v>500</v>
      </c>
      <c r="F58" s="33" t="s">
        <v>522</v>
      </c>
    </row>
    <row r="59" spans="1:9" ht="15" customHeight="1" x14ac:dyDescent="0.25">
      <c r="A59" s="72"/>
      <c r="B59" s="72"/>
      <c r="C59" s="72"/>
      <c r="D59" s="77"/>
      <c r="E59" s="72"/>
      <c r="F59" s="77"/>
    </row>
    <row r="60" spans="1:9" ht="23.4" customHeight="1" x14ac:dyDescent="0.25">
      <c r="A60" s="72"/>
      <c r="B60" s="78" t="s">
        <v>249</v>
      </c>
      <c r="C60" s="72"/>
      <c r="D60" s="77">
        <f>D61+D62+D63+D64</f>
        <v>396.28999999999996</v>
      </c>
      <c r="E60" s="77">
        <f>E61+E62+E63+E64</f>
        <v>9.0500000000000007</v>
      </c>
      <c r="F60" s="77">
        <f>F61+F62+F63+F64</f>
        <v>387.24</v>
      </c>
    </row>
    <row r="61" spans="1:9" ht="13.8" customHeight="1" x14ac:dyDescent="0.25">
      <c r="A61" s="72"/>
      <c r="B61" s="150" t="s">
        <v>469</v>
      </c>
      <c r="C61" s="72"/>
      <c r="D61" s="73">
        <v>212.05</v>
      </c>
      <c r="E61" s="153">
        <v>4.92</v>
      </c>
      <c r="F61" s="73">
        <f>D61-E61</f>
        <v>207.13000000000002</v>
      </c>
      <c r="G61" s="156"/>
      <c r="H61" s="156"/>
      <c r="I61" s="156"/>
    </row>
    <row r="62" spans="1:9" ht="13.8" customHeight="1" x14ac:dyDescent="0.25">
      <c r="A62" s="72"/>
      <c r="B62" s="150" t="s">
        <v>470</v>
      </c>
      <c r="C62" s="72"/>
      <c r="D62" s="73">
        <v>129.6</v>
      </c>
      <c r="E62" s="153">
        <v>3.01</v>
      </c>
      <c r="F62" s="73">
        <f t="shared" ref="F62:F64" si="0">D62-E62</f>
        <v>126.58999999999999</v>
      </c>
      <c r="G62" s="156"/>
      <c r="H62" s="156"/>
      <c r="I62" s="156"/>
    </row>
    <row r="63" spans="1:9" ht="13.8" customHeight="1" x14ac:dyDescent="0.25">
      <c r="A63" s="72"/>
      <c r="B63" s="150" t="s">
        <v>471</v>
      </c>
      <c r="C63" s="72"/>
      <c r="D63" s="73">
        <v>48.14</v>
      </c>
      <c r="E63" s="153">
        <v>1.1200000000000001</v>
      </c>
      <c r="F63" s="73">
        <f t="shared" si="0"/>
        <v>47.02</v>
      </c>
      <c r="G63" s="156"/>
      <c r="H63" s="156"/>
      <c r="I63" s="156"/>
    </row>
    <row r="64" spans="1:9" ht="13.8" customHeight="1" x14ac:dyDescent="0.25">
      <c r="A64" s="72"/>
      <c r="B64" s="150" t="s">
        <v>472</v>
      </c>
      <c r="C64" s="72"/>
      <c r="D64" s="73">
        <v>6.5</v>
      </c>
      <c r="E64" s="153"/>
      <c r="F64" s="73">
        <f t="shared" si="0"/>
        <v>6.5</v>
      </c>
    </row>
    <row r="65" spans="1:9" ht="32.4" customHeight="1" x14ac:dyDescent="0.25">
      <c r="A65" s="72"/>
      <c r="B65" s="78" t="s">
        <v>250</v>
      </c>
      <c r="C65" s="72"/>
      <c r="D65" s="77">
        <f>D66+D67+D68+D69+D70+D71+D72</f>
        <v>447.44999999999987</v>
      </c>
      <c r="E65" s="77">
        <f t="shared" ref="E65:F65" si="1">E66+E67+E68+E69+E70+E71+E72</f>
        <v>8.02</v>
      </c>
      <c r="F65" s="77">
        <f t="shared" si="1"/>
        <v>439.42999999999989</v>
      </c>
    </row>
    <row r="66" spans="1:9" ht="13.8" customHeight="1" x14ac:dyDescent="0.25">
      <c r="A66" s="72"/>
      <c r="B66" s="150" t="s">
        <v>466</v>
      </c>
      <c r="C66" s="72"/>
      <c r="D66" s="73">
        <v>345.7</v>
      </c>
      <c r="E66" s="153">
        <v>8.02</v>
      </c>
      <c r="F66" s="73">
        <f>D66-E66</f>
        <v>337.68</v>
      </c>
      <c r="G66" s="156"/>
      <c r="H66" s="156"/>
      <c r="I66" s="156"/>
    </row>
    <row r="67" spans="1:9" ht="13.8" customHeight="1" x14ac:dyDescent="0.25">
      <c r="A67" s="72"/>
      <c r="B67" s="151" t="s">
        <v>276</v>
      </c>
      <c r="C67" s="72"/>
      <c r="D67" s="73">
        <v>42</v>
      </c>
      <c r="E67" s="153"/>
      <c r="F67" s="73">
        <f t="shared" ref="F67:F72" si="2">D67-E67</f>
        <v>42</v>
      </c>
    </row>
    <row r="68" spans="1:9" ht="13.8" customHeight="1" x14ac:dyDescent="0.25">
      <c r="A68" s="72"/>
      <c r="B68" s="151" t="s">
        <v>379</v>
      </c>
      <c r="C68" s="72"/>
      <c r="D68" s="73">
        <v>14.28</v>
      </c>
      <c r="E68" s="153"/>
      <c r="F68" s="73">
        <f t="shared" si="2"/>
        <v>14.28</v>
      </c>
    </row>
    <row r="69" spans="1:9" ht="13.8" customHeight="1" x14ac:dyDescent="0.25">
      <c r="A69" s="72"/>
      <c r="B69" s="150" t="s">
        <v>467</v>
      </c>
      <c r="C69" s="72"/>
      <c r="D69" s="73">
        <v>6.9</v>
      </c>
      <c r="E69" s="153"/>
      <c r="F69" s="73">
        <f t="shared" si="2"/>
        <v>6.9</v>
      </c>
    </row>
    <row r="70" spans="1:9" ht="13.8" customHeight="1" x14ac:dyDescent="0.25">
      <c r="A70" s="72"/>
      <c r="B70" s="150" t="s">
        <v>468</v>
      </c>
      <c r="C70" s="72"/>
      <c r="D70" s="73">
        <f>3.18+5.59</f>
        <v>8.77</v>
      </c>
      <c r="E70" s="153"/>
      <c r="F70" s="73">
        <f t="shared" si="2"/>
        <v>8.77</v>
      </c>
    </row>
    <row r="71" spans="1:9" ht="13.8" customHeight="1" x14ac:dyDescent="0.25">
      <c r="A71" s="72"/>
      <c r="B71" s="150" t="s">
        <v>531</v>
      </c>
      <c r="C71" s="72"/>
      <c r="D71" s="73">
        <v>24.4</v>
      </c>
      <c r="E71" s="153"/>
      <c r="F71" s="73">
        <f t="shared" si="2"/>
        <v>24.4</v>
      </c>
    </row>
    <row r="72" spans="1:9" ht="13.8" customHeight="1" x14ac:dyDescent="0.25">
      <c r="A72" s="72"/>
      <c r="B72" s="150" t="s">
        <v>532</v>
      </c>
      <c r="C72" s="72"/>
      <c r="D72" s="73">
        <v>5.4</v>
      </c>
      <c r="E72" s="153"/>
      <c r="F72" s="73">
        <f t="shared" si="2"/>
        <v>5.4</v>
      </c>
    </row>
    <row r="73" spans="1:9" x14ac:dyDescent="0.25">
      <c r="A73" s="72"/>
      <c r="B73" s="78" t="s">
        <v>251</v>
      </c>
      <c r="C73" s="72"/>
      <c r="D73" s="77">
        <v>208.8</v>
      </c>
      <c r="E73" s="78">
        <v>4.84</v>
      </c>
      <c r="F73" s="77">
        <f>D73-E73</f>
        <v>203.96</v>
      </c>
      <c r="G73" s="156"/>
      <c r="H73" s="156"/>
      <c r="I73" s="156"/>
    </row>
    <row r="74" spans="1:9" ht="18.600000000000001" customHeight="1" x14ac:dyDescent="0.25">
      <c r="A74" s="72"/>
      <c r="B74" s="78" t="s">
        <v>91</v>
      </c>
      <c r="C74" s="72"/>
      <c r="D74" s="77">
        <f>D75+D76+D77+D78+D79</f>
        <v>570.67000000000007</v>
      </c>
      <c r="E74" s="153"/>
      <c r="F74" s="77">
        <f>F75+F76+F77+F78+F79</f>
        <v>570.67000000000007</v>
      </c>
    </row>
    <row r="75" spans="1:9" x14ac:dyDescent="0.25">
      <c r="A75" s="72"/>
      <c r="B75" s="150" t="s">
        <v>473</v>
      </c>
      <c r="C75" s="72"/>
      <c r="D75" s="73">
        <v>130.04</v>
      </c>
      <c r="E75" s="153"/>
      <c r="F75" s="73">
        <v>130.04</v>
      </c>
    </row>
    <row r="76" spans="1:9" x14ac:dyDescent="0.25">
      <c r="A76" s="72"/>
      <c r="B76" s="150" t="s">
        <v>474</v>
      </c>
      <c r="C76" s="72"/>
      <c r="D76" s="73">
        <v>179.2</v>
      </c>
      <c r="E76" s="153"/>
      <c r="F76" s="73">
        <v>179.2</v>
      </c>
    </row>
    <row r="77" spans="1:9" x14ac:dyDescent="0.25">
      <c r="A77" s="72"/>
      <c r="B77" s="150" t="s">
        <v>475</v>
      </c>
      <c r="C77" s="72"/>
      <c r="D77" s="73">
        <v>144</v>
      </c>
      <c r="E77" s="153"/>
      <c r="F77" s="73">
        <v>144</v>
      </c>
    </row>
    <row r="78" spans="1:9" x14ac:dyDescent="0.25">
      <c r="A78" s="72"/>
      <c r="B78" s="150" t="s">
        <v>395</v>
      </c>
      <c r="C78" s="72"/>
      <c r="D78" s="73">
        <v>110.7</v>
      </c>
      <c r="E78" s="153"/>
      <c r="F78" s="73">
        <v>110.7</v>
      </c>
    </row>
    <row r="79" spans="1:9" x14ac:dyDescent="0.25">
      <c r="A79" s="72"/>
      <c r="B79" s="150" t="s">
        <v>484</v>
      </c>
      <c r="C79" s="72"/>
      <c r="D79" s="73">
        <v>6.73</v>
      </c>
      <c r="E79" s="153"/>
      <c r="F79" s="73">
        <v>6.73</v>
      </c>
    </row>
    <row r="80" spans="1:9" x14ac:dyDescent="0.25">
      <c r="A80" s="72"/>
      <c r="B80" s="78" t="s">
        <v>480</v>
      </c>
      <c r="C80" s="78"/>
      <c r="D80" s="77">
        <v>38.229999999999997</v>
      </c>
      <c r="E80" s="78"/>
      <c r="F80" s="77">
        <v>38.229999999999997</v>
      </c>
    </row>
    <row r="81" spans="1:9" x14ac:dyDescent="0.25">
      <c r="A81" s="94"/>
      <c r="B81" s="78" t="s">
        <v>252</v>
      </c>
      <c r="C81" s="72"/>
      <c r="D81" s="77">
        <f>D82+D83+D84+D85+D86</f>
        <v>197.84</v>
      </c>
      <c r="E81" s="78"/>
      <c r="F81" s="77">
        <f>F82+F83+F84+F85+F86</f>
        <v>197.84</v>
      </c>
    </row>
    <row r="82" spans="1:9" x14ac:dyDescent="0.25">
      <c r="A82" s="94"/>
      <c r="B82" s="150" t="s">
        <v>535</v>
      </c>
      <c r="C82" s="72"/>
      <c r="D82" s="73">
        <v>49.24</v>
      </c>
      <c r="E82" s="72"/>
      <c r="F82" s="73">
        <v>49.24</v>
      </c>
    </row>
    <row r="83" spans="1:9" x14ac:dyDescent="0.25">
      <c r="A83" s="94"/>
      <c r="B83" s="150" t="s">
        <v>536</v>
      </c>
      <c r="C83" s="72"/>
      <c r="D83" s="73">
        <v>32</v>
      </c>
      <c r="E83" s="72"/>
      <c r="F83" s="73">
        <v>32</v>
      </c>
    </row>
    <row r="84" spans="1:9" x14ac:dyDescent="0.25">
      <c r="A84" s="94"/>
      <c r="B84" s="150" t="s">
        <v>534</v>
      </c>
      <c r="C84" s="72"/>
      <c r="D84" s="73">
        <v>11</v>
      </c>
      <c r="E84" s="72"/>
      <c r="F84" s="73">
        <v>11</v>
      </c>
    </row>
    <row r="85" spans="1:9" x14ac:dyDescent="0.25">
      <c r="A85" s="94"/>
      <c r="B85" s="150" t="s">
        <v>533</v>
      </c>
      <c r="C85" s="72"/>
      <c r="D85" s="73">
        <v>36.1</v>
      </c>
      <c r="E85" s="72"/>
      <c r="F85" s="73">
        <v>36.1</v>
      </c>
    </row>
    <row r="86" spans="1:9" x14ac:dyDescent="0.25">
      <c r="A86" s="94"/>
      <c r="B86" s="150" t="s">
        <v>485</v>
      </c>
      <c r="C86" s="72"/>
      <c r="D86" s="73">
        <v>69.5</v>
      </c>
      <c r="E86" s="72"/>
      <c r="F86" s="73">
        <v>69.5</v>
      </c>
    </row>
    <row r="87" spans="1:9" x14ac:dyDescent="0.25">
      <c r="A87" s="72"/>
      <c r="B87" s="72" t="s">
        <v>537</v>
      </c>
      <c r="C87" s="72"/>
      <c r="D87" s="77">
        <f>1.34+12.49</f>
        <v>13.83</v>
      </c>
      <c r="E87" s="72"/>
      <c r="F87" s="77">
        <f>D87</f>
        <v>13.83</v>
      </c>
    </row>
    <row r="88" spans="1:9" x14ac:dyDescent="0.25">
      <c r="A88" s="72"/>
      <c r="B88" s="72"/>
      <c r="C88" s="72"/>
      <c r="D88" s="77"/>
      <c r="E88" s="72"/>
      <c r="F88" s="77"/>
    </row>
    <row r="89" spans="1:9" ht="20.399999999999999" customHeight="1" x14ac:dyDescent="0.25">
      <c r="A89" s="72"/>
      <c r="B89" s="78" t="s">
        <v>264</v>
      </c>
      <c r="C89" s="72"/>
      <c r="D89" s="77">
        <f>D90+D91+D92+D93</f>
        <v>634.48</v>
      </c>
      <c r="E89" s="153"/>
      <c r="F89" s="77">
        <f>F90+F91+F92+F93</f>
        <v>634.48</v>
      </c>
    </row>
    <row r="90" spans="1:9" x14ac:dyDescent="0.25">
      <c r="A90" s="72"/>
      <c r="B90" s="150" t="s">
        <v>476</v>
      </c>
      <c r="C90" s="72"/>
      <c r="D90" s="73">
        <v>354.43</v>
      </c>
      <c r="E90" s="72"/>
      <c r="F90" s="73">
        <v>354.43</v>
      </c>
    </row>
    <row r="91" spans="1:9" x14ac:dyDescent="0.25">
      <c r="A91" s="72"/>
      <c r="B91" s="150" t="s">
        <v>477</v>
      </c>
      <c r="C91" s="72"/>
      <c r="D91" s="73">
        <v>60</v>
      </c>
      <c r="E91" s="72"/>
      <c r="F91" s="73">
        <v>60</v>
      </c>
    </row>
    <row r="92" spans="1:9" x14ac:dyDescent="0.25">
      <c r="A92" s="72"/>
      <c r="B92" s="150" t="s">
        <v>478</v>
      </c>
      <c r="C92" s="72"/>
      <c r="D92" s="73">
        <v>190.05</v>
      </c>
      <c r="E92" s="72"/>
      <c r="F92" s="73">
        <v>190.05</v>
      </c>
    </row>
    <row r="93" spans="1:9" x14ac:dyDescent="0.25">
      <c r="A93" s="72"/>
      <c r="B93" s="150" t="s">
        <v>479</v>
      </c>
      <c r="C93" s="72"/>
      <c r="D93" s="73">
        <v>30</v>
      </c>
      <c r="E93" s="72"/>
      <c r="F93" s="73">
        <v>30</v>
      </c>
    </row>
    <row r="94" spans="1:9" x14ac:dyDescent="0.25">
      <c r="A94" s="72"/>
      <c r="B94" s="72" t="s">
        <v>383</v>
      </c>
      <c r="C94" s="72"/>
      <c r="D94" s="77">
        <v>17.98</v>
      </c>
      <c r="E94" s="78">
        <v>0.42</v>
      </c>
      <c r="F94" s="77">
        <f t="shared" ref="F94:F95" si="3">D94-E94</f>
        <v>17.559999999999999</v>
      </c>
      <c r="G94" s="156"/>
      <c r="H94" s="156"/>
      <c r="I94" s="156"/>
    </row>
    <row r="95" spans="1:9" x14ac:dyDescent="0.25">
      <c r="A95" s="72"/>
      <c r="B95" s="72" t="s">
        <v>253</v>
      </c>
      <c r="C95" s="72"/>
      <c r="D95" s="77">
        <f>D96+D97</f>
        <v>14.07</v>
      </c>
      <c r="E95" s="72"/>
      <c r="F95" s="77">
        <f t="shared" si="3"/>
        <v>14.07</v>
      </c>
    </row>
    <row r="96" spans="1:9" x14ac:dyDescent="0.25">
      <c r="A96" s="72"/>
      <c r="B96" s="150" t="s">
        <v>481</v>
      </c>
      <c r="C96" s="72"/>
      <c r="D96" s="73">
        <v>10.09</v>
      </c>
      <c r="E96" s="72"/>
      <c r="F96" s="73">
        <v>10.09</v>
      </c>
    </row>
    <row r="97" spans="1:9" x14ac:dyDescent="0.25">
      <c r="A97" s="72"/>
      <c r="B97" s="150" t="s">
        <v>482</v>
      </c>
      <c r="C97" s="72"/>
      <c r="D97" s="73">
        <v>3.98</v>
      </c>
      <c r="E97" s="72"/>
      <c r="F97" s="73">
        <v>3.98</v>
      </c>
    </row>
    <row r="98" spans="1:9" ht="21" x14ac:dyDescent="0.25">
      <c r="A98" s="72"/>
      <c r="B98" s="152" t="s">
        <v>254</v>
      </c>
      <c r="C98" s="72"/>
      <c r="D98" s="77">
        <v>31.78</v>
      </c>
      <c r="E98" s="72"/>
      <c r="F98" s="77">
        <f t="shared" ref="F98:F108" si="4">D98-E98</f>
        <v>31.78</v>
      </c>
    </row>
    <row r="99" spans="1:9" x14ac:dyDescent="0.25">
      <c r="A99" s="72"/>
      <c r="B99" s="153" t="s">
        <v>402</v>
      </c>
      <c r="C99" s="72"/>
      <c r="D99" s="77">
        <v>6.99</v>
      </c>
      <c r="E99" s="72"/>
      <c r="F99" s="77">
        <f t="shared" si="4"/>
        <v>6.99</v>
      </c>
    </row>
    <row r="100" spans="1:9" ht="21" x14ac:dyDescent="0.25">
      <c r="A100" s="72"/>
      <c r="B100" s="152" t="s">
        <v>538</v>
      </c>
      <c r="C100" s="72"/>
      <c r="D100" s="77">
        <v>124.41</v>
      </c>
      <c r="E100" s="72"/>
      <c r="F100" s="77">
        <f t="shared" si="4"/>
        <v>124.41</v>
      </c>
    </row>
    <row r="101" spans="1:9" x14ac:dyDescent="0.25">
      <c r="A101" s="72"/>
      <c r="B101" s="72" t="s">
        <v>385</v>
      </c>
      <c r="C101" s="72"/>
      <c r="D101" s="77">
        <v>232.37</v>
      </c>
      <c r="E101" s="72"/>
      <c r="F101" s="77">
        <f t="shared" si="4"/>
        <v>232.37</v>
      </c>
    </row>
    <row r="102" spans="1:9" x14ac:dyDescent="0.25">
      <c r="A102" s="72"/>
      <c r="B102" s="72" t="s">
        <v>539</v>
      </c>
      <c r="C102" s="72"/>
      <c r="D102" s="77">
        <f>2.35+0.42</f>
        <v>2.77</v>
      </c>
      <c r="E102" s="72"/>
      <c r="F102" s="77">
        <f t="shared" si="4"/>
        <v>2.77</v>
      </c>
    </row>
    <row r="103" spans="1:9" x14ac:dyDescent="0.25">
      <c r="A103" s="72"/>
      <c r="B103" s="72" t="s">
        <v>487</v>
      </c>
      <c r="C103" s="72"/>
      <c r="D103" s="77">
        <f>7.82+90.15+10</f>
        <v>107.97</v>
      </c>
      <c r="E103" s="72"/>
      <c r="F103" s="77">
        <f t="shared" si="4"/>
        <v>107.97</v>
      </c>
    </row>
    <row r="104" spans="1:9" x14ac:dyDescent="0.25">
      <c r="A104" s="72"/>
      <c r="B104" s="72" t="s">
        <v>488</v>
      </c>
      <c r="C104" s="72"/>
      <c r="D104" s="77">
        <f>0.7+0.69+0.28</f>
        <v>1.67</v>
      </c>
      <c r="E104" s="72"/>
      <c r="F104" s="77">
        <f t="shared" si="4"/>
        <v>1.67</v>
      </c>
    </row>
    <row r="105" spans="1:9" x14ac:dyDescent="0.25">
      <c r="A105" s="72"/>
      <c r="B105" s="72" t="s">
        <v>489</v>
      </c>
      <c r="C105" s="72"/>
      <c r="D105" s="77">
        <f>0.85+1.7</f>
        <v>2.5499999999999998</v>
      </c>
      <c r="E105" s="72"/>
      <c r="F105" s="77">
        <f t="shared" si="4"/>
        <v>2.5499999999999998</v>
      </c>
    </row>
    <row r="106" spans="1:9" x14ac:dyDescent="0.25">
      <c r="A106" s="72"/>
      <c r="B106" s="72" t="s">
        <v>465</v>
      </c>
      <c r="C106" s="72"/>
      <c r="D106" s="77">
        <v>1153.02</v>
      </c>
      <c r="E106" s="72"/>
      <c r="F106" s="77">
        <f t="shared" si="4"/>
        <v>1153.02</v>
      </c>
    </row>
    <row r="107" spans="1:9" x14ac:dyDescent="0.25">
      <c r="A107" s="72"/>
      <c r="B107" s="72" t="s">
        <v>255</v>
      </c>
      <c r="C107" s="72"/>
      <c r="D107" s="77">
        <v>277.05</v>
      </c>
      <c r="E107" s="72"/>
      <c r="F107" s="77">
        <f t="shared" si="4"/>
        <v>277.05</v>
      </c>
    </row>
    <row r="108" spans="1:9" x14ac:dyDescent="0.25">
      <c r="A108" s="94"/>
      <c r="B108" s="72" t="s">
        <v>483</v>
      </c>
      <c r="C108" s="72"/>
      <c r="D108" s="77">
        <v>11.8</v>
      </c>
      <c r="E108" s="72"/>
      <c r="F108" s="77">
        <f t="shared" si="4"/>
        <v>11.8</v>
      </c>
    </row>
    <row r="109" spans="1:9" x14ac:dyDescent="0.25">
      <c r="A109" s="72"/>
      <c r="B109" s="78" t="s">
        <v>87</v>
      </c>
      <c r="C109" s="78">
        <f>SUM(C59:C107)</f>
        <v>0</v>
      </c>
      <c r="D109" s="77">
        <f>D59+D60+D65+D73+D74+D80+D81+D87+D88+D89+D94+D95+D98+D99+D100+D101+D102+D103+D104+D105+D106+D107+D108</f>
        <v>4492.0200000000004</v>
      </c>
      <c r="E109" s="77">
        <f>E59+E60+E65+E73+E74+E80+E81+E87+E88+E89+E94+E95+E98+E99+E100+E101+E102+E103++E104+E105+E106+E107+E108</f>
        <v>22.330000000000002</v>
      </c>
      <c r="F109" s="77">
        <f>F59+F60+F65+F73+F74+F80+F81+F87+F88+F89+F94+F95+F98+F99+F100+F101+F102+F103+F104+F105+F106+F107+F108</f>
        <v>4469.6900000000005</v>
      </c>
      <c r="G109" s="156"/>
      <c r="H109" s="156"/>
      <c r="I109" s="156"/>
    </row>
    <row r="111" spans="1:9" x14ac:dyDescent="0.25">
      <c r="A111" s="4" t="s">
        <v>0</v>
      </c>
      <c r="B111" s="92"/>
      <c r="C111" s="4" t="s">
        <v>227</v>
      </c>
    </row>
    <row r="115" spans="1:8" ht="17.399999999999999" x14ac:dyDescent="0.3">
      <c r="B115" s="93" t="s">
        <v>256</v>
      </c>
    </row>
    <row r="117" spans="1:8" ht="25.95" customHeight="1" x14ac:dyDescent="0.25">
      <c r="A117" s="241" t="s">
        <v>85</v>
      </c>
      <c r="B117" s="241" t="s">
        <v>90</v>
      </c>
      <c r="C117" s="81" t="s">
        <v>245</v>
      </c>
      <c r="D117" s="251" t="s">
        <v>232</v>
      </c>
      <c r="E117" s="252"/>
      <c r="F117" s="253"/>
    </row>
    <row r="118" spans="1:8" ht="53.4" customHeight="1" x14ac:dyDescent="0.25">
      <c r="A118" s="242"/>
      <c r="B118" s="242"/>
      <c r="C118" s="33" t="s">
        <v>520</v>
      </c>
      <c r="D118" s="33" t="s">
        <v>521</v>
      </c>
      <c r="E118" s="155" t="s">
        <v>500</v>
      </c>
      <c r="F118" s="33" t="s">
        <v>522</v>
      </c>
    </row>
    <row r="119" spans="1:8" x14ac:dyDescent="0.25">
      <c r="A119" s="72">
        <v>1</v>
      </c>
      <c r="B119" s="72" t="s">
        <v>544</v>
      </c>
      <c r="C119" s="73">
        <v>3440.87</v>
      </c>
      <c r="D119" s="77">
        <v>3699.88</v>
      </c>
      <c r="E119" s="78">
        <v>60.9</v>
      </c>
      <c r="F119" s="77">
        <f>D119-E119</f>
        <v>3638.98</v>
      </c>
    </row>
    <row r="120" spans="1:8" x14ac:dyDescent="0.25">
      <c r="A120" s="72" t="s">
        <v>170</v>
      </c>
      <c r="B120" s="72" t="s">
        <v>259</v>
      </c>
      <c r="C120" s="73"/>
      <c r="D120" s="77"/>
      <c r="E120" s="78"/>
      <c r="F120" s="77"/>
    </row>
    <row r="121" spans="1:8" x14ac:dyDescent="0.25">
      <c r="A121" s="72">
        <v>2</v>
      </c>
      <c r="B121" s="72" t="s">
        <v>257</v>
      </c>
      <c r="C121" s="73">
        <v>4093.45</v>
      </c>
      <c r="D121" s="77">
        <f>1774.39+D123+D124+D125</f>
        <v>4385.72</v>
      </c>
      <c r="E121" s="77">
        <v>238.46</v>
      </c>
      <c r="F121" s="77">
        <f>D121-E121</f>
        <v>4147.26</v>
      </c>
    </row>
    <row r="122" spans="1:8" x14ac:dyDescent="0.25">
      <c r="A122" s="72" t="s">
        <v>170</v>
      </c>
      <c r="B122" s="150" t="s">
        <v>411</v>
      </c>
      <c r="C122" s="72"/>
      <c r="D122" s="72">
        <v>134.53</v>
      </c>
      <c r="E122" s="72"/>
      <c r="F122" s="72">
        <v>134.53</v>
      </c>
    </row>
    <row r="123" spans="1:8" x14ac:dyDescent="0.25">
      <c r="A123" s="72" t="s">
        <v>100</v>
      </c>
      <c r="B123" s="72" t="s">
        <v>260</v>
      </c>
      <c r="C123" s="72">
        <v>2266.7600000000002</v>
      </c>
      <c r="D123" s="78">
        <v>1716.93</v>
      </c>
      <c r="E123" s="72"/>
      <c r="F123" s="77">
        <f t="shared" ref="F123:F125" si="5">D123-E123</f>
        <v>1716.93</v>
      </c>
    </row>
    <row r="124" spans="1:8" x14ac:dyDescent="0.25">
      <c r="A124" s="72" t="s">
        <v>102</v>
      </c>
      <c r="B124" s="72" t="s">
        <v>258</v>
      </c>
      <c r="C124" s="72"/>
      <c r="D124" s="78">
        <v>440.59</v>
      </c>
      <c r="E124" s="72"/>
      <c r="F124" s="77">
        <f t="shared" si="5"/>
        <v>440.59</v>
      </c>
    </row>
    <row r="125" spans="1:8" x14ac:dyDescent="0.25">
      <c r="A125" s="72" t="s">
        <v>103</v>
      </c>
      <c r="B125" s="72" t="s">
        <v>261</v>
      </c>
      <c r="C125" s="72"/>
      <c r="D125" s="78">
        <v>453.81</v>
      </c>
      <c r="E125" s="72"/>
      <c r="F125" s="77">
        <f t="shared" si="5"/>
        <v>453.81</v>
      </c>
    </row>
    <row r="126" spans="1:8" ht="15.6" x14ac:dyDescent="0.3">
      <c r="A126" s="72"/>
      <c r="B126" s="78" t="s">
        <v>87</v>
      </c>
      <c r="C126" s="134">
        <f>C119+C121</f>
        <v>7534.32</v>
      </c>
      <c r="D126" s="134">
        <f t="shared" ref="D126:E126" si="6">D119+D121</f>
        <v>8085.6</v>
      </c>
      <c r="E126" s="134">
        <f t="shared" si="6"/>
        <v>299.36</v>
      </c>
      <c r="F126" s="134">
        <f>F119+F121</f>
        <v>7786.24</v>
      </c>
      <c r="H126" s="156"/>
    </row>
    <row r="128" spans="1:8" x14ac:dyDescent="0.25">
      <c r="A128" s="4" t="s">
        <v>0</v>
      </c>
      <c r="B128" s="92"/>
      <c r="C128" s="4" t="s">
        <v>227</v>
      </c>
    </row>
    <row r="129" spans="1:5" ht="17.399999999999999" x14ac:dyDescent="0.3">
      <c r="A129" s="93" t="s">
        <v>262</v>
      </c>
    </row>
    <row r="130" spans="1:5" ht="44.55" customHeight="1" x14ac:dyDescent="0.25">
      <c r="A130" s="241" t="s">
        <v>85</v>
      </c>
      <c r="B130" s="241" t="s">
        <v>90</v>
      </c>
      <c r="C130" s="81" t="s">
        <v>245</v>
      </c>
      <c r="D130" s="36" t="s">
        <v>232</v>
      </c>
      <c r="E130" s="125"/>
    </row>
    <row r="131" spans="1:5" ht="45.45" customHeight="1" x14ac:dyDescent="0.25">
      <c r="A131" s="242"/>
      <c r="B131" s="242"/>
      <c r="C131" s="33" t="s">
        <v>520</v>
      </c>
      <c r="D131" s="33" t="s">
        <v>529</v>
      </c>
      <c r="E131" s="126"/>
    </row>
    <row r="132" spans="1:5" x14ac:dyDescent="0.25">
      <c r="A132" s="72"/>
      <c r="B132" s="39" t="s">
        <v>169</v>
      </c>
      <c r="C132" s="78"/>
      <c r="D132" s="78">
        <f>D134</f>
        <v>0</v>
      </c>
      <c r="E132" s="127"/>
    </row>
    <row r="133" spans="1:5" x14ac:dyDescent="0.25">
      <c r="A133" s="72"/>
      <c r="B133" s="35" t="s">
        <v>170</v>
      </c>
      <c r="C133" s="78"/>
      <c r="D133" s="72"/>
      <c r="E133" s="127"/>
    </row>
    <row r="134" spans="1:5" x14ac:dyDescent="0.25">
      <c r="A134" s="72"/>
      <c r="B134" s="35" t="s">
        <v>171</v>
      </c>
      <c r="C134" s="72"/>
      <c r="D134" s="72"/>
      <c r="E134" s="127"/>
    </row>
    <row r="135" spans="1:5" x14ac:dyDescent="0.25">
      <c r="A135" s="72"/>
      <c r="B135" s="39" t="s">
        <v>172</v>
      </c>
      <c r="C135" s="78">
        <f>C141+C145</f>
        <v>347.28999999999996</v>
      </c>
      <c r="D135" s="78">
        <f>D141+D145</f>
        <v>225.85</v>
      </c>
      <c r="E135" s="128"/>
    </row>
    <row r="136" spans="1:5" x14ac:dyDescent="0.25">
      <c r="A136" s="72"/>
      <c r="B136" s="35" t="s">
        <v>170</v>
      </c>
      <c r="C136" s="72"/>
      <c r="D136" s="72"/>
      <c r="E136" s="127"/>
    </row>
    <row r="137" spans="1:5" x14ac:dyDescent="0.25">
      <c r="A137" s="72"/>
      <c r="B137" s="35" t="s">
        <v>173</v>
      </c>
      <c r="C137" s="72"/>
      <c r="D137" s="72"/>
      <c r="E137" s="127"/>
    </row>
    <row r="138" spans="1:5" x14ac:dyDescent="0.25">
      <c r="A138" s="72"/>
      <c r="B138" s="35" t="s">
        <v>175</v>
      </c>
      <c r="C138" s="78"/>
      <c r="D138" s="72"/>
      <c r="E138" s="127"/>
    </row>
    <row r="139" spans="1:5" x14ac:dyDescent="0.25">
      <c r="A139" s="72"/>
      <c r="B139" s="35" t="s">
        <v>176</v>
      </c>
      <c r="C139" s="72"/>
      <c r="D139" s="72"/>
      <c r="E139" s="127"/>
    </row>
    <row r="140" spans="1:5" x14ac:dyDescent="0.25">
      <c r="A140" s="72"/>
      <c r="B140" s="35" t="s">
        <v>203</v>
      </c>
      <c r="C140" s="72"/>
      <c r="D140" s="72"/>
      <c r="E140" s="127"/>
    </row>
    <row r="141" spans="1:5" x14ac:dyDescent="0.25">
      <c r="A141" s="72"/>
      <c r="B141" s="35" t="s">
        <v>174</v>
      </c>
      <c r="C141" s="72">
        <v>212.92</v>
      </c>
      <c r="D141" s="72">
        <v>135.85</v>
      </c>
      <c r="E141" s="127"/>
    </row>
    <row r="142" spans="1:5" ht="20.399999999999999" x14ac:dyDescent="0.25">
      <c r="A142" s="72"/>
      <c r="B142" s="35" t="s">
        <v>177</v>
      </c>
      <c r="C142" s="72"/>
      <c r="D142" s="72"/>
      <c r="E142" s="127"/>
    </row>
    <row r="143" spans="1:5" x14ac:dyDescent="0.25">
      <c r="A143" s="72"/>
      <c r="B143" s="35" t="s">
        <v>178</v>
      </c>
      <c r="C143" s="72"/>
      <c r="D143" s="72"/>
      <c r="E143" s="127"/>
    </row>
    <row r="144" spans="1:5" x14ac:dyDescent="0.25">
      <c r="A144" s="72"/>
      <c r="B144" s="35" t="s">
        <v>179</v>
      </c>
      <c r="C144" s="72"/>
      <c r="D144" s="72"/>
      <c r="E144" s="127"/>
    </row>
    <row r="145" spans="1:5" x14ac:dyDescent="0.25">
      <c r="A145" s="72"/>
      <c r="B145" s="35" t="s">
        <v>180</v>
      </c>
      <c r="C145" s="72">
        <v>134.37</v>
      </c>
      <c r="D145" s="74">
        <v>90</v>
      </c>
      <c r="E145" s="127"/>
    </row>
    <row r="146" spans="1:5" x14ac:dyDescent="0.25">
      <c r="A146" s="72"/>
      <c r="B146" s="35" t="s">
        <v>181</v>
      </c>
      <c r="C146" s="72"/>
      <c r="D146" s="72"/>
      <c r="E146" s="127"/>
    </row>
    <row r="147" spans="1:5" x14ac:dyDescent="0.25">
      <c r="A147" s="72"/>
      <c r="B147" s="39" t="s">
        <v>182</v>
      </c>
      <c r="C147" s="78">
        <f>C154+C152+C153</f>
        <v>98.64</v>
      </c>
      <c r="D147" s="78">
        <f>D148+D149+D150+D151+D152+D153+D154</f>
        <v>164.17000000000002</v>
      </c>
      <c r="E147" s="128"/>
    </row>
    <row r="148" spans="1:5" x14ac:dyDescent="0.25">
      <c r="A148" s="72"/>
      <c r="B148" s="35" t="s">
        <v>183</v>
      </c>
      <c r="C148" s="72"/>
      <c r="D148" s="72"/>
      <c r="E148" s="127"/>
    </row>
    <row r="149" spans="1:5" x14ac:dyDescent="0.25">
      <c r="A149" s="72"/>
      <c r="B149" s="35" t="s">
        <v>184</v>
      </c>
      <c r="C149" s="72"/>
      <c r="D149" s="72"/>
      <c r="E149" s="127"/>
    </row>
    <row r="150" spans="1:5" x14ac:dyDescent="0.25">
      <c r="A150" s="72"/>
      <c r="B150" s="35" t="s">
        <v>200</v>
      </c>
      <c r="C150" s="72"/>
      <c r="D150" s="72"/>
      <c r="E150" s="127"/>
    </row>
    <row r="151" spans="1:5" x14ac:dyDescent="0.25">
      <c r="A151" s="72"/>
      <c r="B151" s="35" t="s">
        <v>185</v>
      </c>
      <c r="C151" s="72"/>
      <c r="D151" s="72"/>
      <c r="E151" s="127"/>
    </row>
    <row r="152" spans="1:5" x14ac:dyDescent="0.25">
      <c r="A152" s="72"/>
      <c r="B152" s="35" t="s">
        <v>186</v>
      </c>
      <c r="C152" s="72">
        <v>59.74</v>
      </c>
      <c r="D152" s="175">
        <v>70</v>
      </c>
      <c r="E152" s="127"/>
    </row>
    <row r="153" spans="1:5" x14ac:dyDescent="0.25">
      <c r="A153" s="72"/>
      <c r="B153" s="35" t="s">
        <v>187</v>
      </c>
      <c r="C153" s="72">
        <v>32</v>
      </c>
      <c r="D153" s="175">
        <f>10+8.33</f>
        <v>18.329999999999998</v>
      </c>
      <c r="E153" s="127"/>
    </row>
    <row r="154" spans="1:5" x14ac:dyDescent="0.25">
      <c r="A154" s="72"/>
      <c r="B154" s="35" t="s">
        <v>384</v>
      </c>
      <c r="C154" s="72">
        <v>6.9</v>
      </c>
      <c r="D154" s="72">
        <v>75.84</v>
      </c>
      <c r="E154" s="127"/>
    </row>
    <row r="155" spans="1:5" x14ac:dyDescent="0.25">
      <c r="A155" s="72"/>
      <c r="B155" s="39" t="s">
        <v>188</v>
      </c>
      <c r="C155" s="72"/>
      <c r="D155" s="72"/>
      <c r="E155" s="127"/>
    </row>
    <row r="156" spans="1:5" x14ac:dyDescent="0.25">
      <c r="A156" s="72"/>
      <c r="B156" s="39" t="s">
        <v>189</v>
      </c>
      <c r="C156" s="78">
        <v>101.3</v>
      </c>
      <c r="D156" s="77">
        <f>D160</f>
        <v>168.3</v>
      </c>
      <c r="E156" s="128"/>
    </row>
    <row r="157" spans="1:5" x14ac:dyDescent="0.25">
      <c r="A157" s="72"/>
      <c r="B157" s="35" t="s">
        <v>190</v>
      </c>
      <c r="C157" s="72"/>
      <c r="D157" s="72"/>
      <c r="E157" s="123"/>
    </row>
    <row r="158" spans="1:5" x14ac:dyDescent="0.25">
      <c r="A158" s="72"/>
      <c r="B158" s="35" t="s">
        <v>191</v>
      </c>
      <c r="C158" s="72"/>
      <c r="D158" s="72"/>
      <c r="E158" s="127"/>
    </row>
    <row r="159" spans="1:5" x14ac:dyDescent="0.25">
      <c r="A159" s="72"/>
      <c r="B159" s="35" t="s">
        <v>192</v>
      </c>
      <c r="C159" s="72"/>
      <c r="D159" s="72"/>
      <c r="E159" s="127"/>
    </row>
    <row r="160" spans="1:5" x14ac:dyDescent="0.25">
      <c r="A160" s="72"/>
      <c r="B160" s="35" t="s">
        <v>167</v>
      </c>
      <c r="C160" s="72">
        <v>101.3</v>
      </c>
      <c r="D160" s="73">
        <v>168.3</v>
      </c>
      <c r="E160" s="127"/>
    </row>
    <row r="161" spans="1:6" x14ac:dyDescent="0.25">
      <c r="A161" s="72"/>
      <c r="B161" s="35" t="s">
        <v>191</v>
      </c>
      <c r="C161" s="72"/>
      <c r="D161" s="72"/>
      <c r="E161" s="127"/>
    </row>
    <row r="162" spans="1:6" x14ac:dyDescent="0.25">
      <c r="A162" s="72"/>
      <c r="B162" s="35" t="s">
        <v>193</v>
      </c>
      <c r="C162" s="72"/>
      <c r="D162" s="72"/>
      <c r="E162" s="127"/>
    </row>
    <row r="163" spans="1:6" x14ac:dyDescent="0.25">
      <c r="A163" s="72"/>
      <c r="B163" s="35" t="s">
        <v>194</v>
      </c>
      <c r="C163" s="72"/>
      <c r="D163" s="72"/>
      <c r="E163" s="127"/>
    </row>
    <row r="164" spans="1:6" x14ac:dyDescent="0.25">
      <c r="A164" s="72"/>
      <c r="B164" s="35" t="s">
        <v>195</v>
      </c>
      <c r="C164" s="72"/>
      <c r="D164" s="72"/>
      <c r="E164" s="127"/>
    </row>
    <row r="165" spans="1:6" x14ac:dyDescent="0.25">
      <c r="A165" s="72"/>
      <c r="B165" s="39" t="s">
        <v>196</v>
      </c>
      <c r="C165" s="78">
        <v>111.48</v>
      </c>
      <c r="D165" s="78">
        <v>0</v>
      </c>
      <c r="E165" s="127"/>
    </row>
    <row r="166" spans="1:6" x14ac:dyDescent="0.25">
      <c r="A166" s="72"/>
      <c r="B166" s="35" t="s">
        <v>197</v>
      </c>
      <c r="C166" s="72">
        <v>111.48</v>
      </c>
      <c r="D166" s="72">
        <v>0</v>
      </c>
      <c r="E166" s="127"/>
    </row>
    <row r="167" spans="1:6" ht="17.399999999999999" customHeight="1" x14ac:dyDescent="0.25">
      <c r="A167" s="72"/>
      <c r="B167" s="39" t="s">
        <v>198</v>
      </c>
      <c r="C167" s="78">
        <f>C132+C135+C147+C156+C166</f>
        <v>658.70999999999992</v>
      </c>
      <c r="D167" s="78">
        <f>D132+D135+D147+D156+D166</f>
        <v>558.31999999999994</v>
      </c>
      <c r="E167" s="128"/>
    </row>
    <row r="169" spans="1:6" x14ac:dyDescent="0.25">
      <c r="A169" s="4" t="s">
        <v>0</v>
      </c>
      <c r="B169" s="92"/>
      <c r="C169" s="4" t="s">
        <v>227</v>
      </c>
    </row>
    <row r="171" spans="1:6" ht="18" x14ac:dyDescent="0.35">
      <c r="A171" s="161"/>
      <c r="B171" s="161"/>
      <c r="C171" s="161"/>
      <c r="D171" s="161"/>
      <c r="E171" s="161"/>
      <c r="F171" s="161"/>
    </row>
    <row r="172" spans="1:6" ht="15.6" x14ac:dyDescent="0.3">
      <c r="A172" s="44"/>
      <c r="B172" s="44"/>
      <c r="C172" s="44"/>
      <c r="D172" s="44"/>
      <c r="E172" s="44"/>
      <c r="F172" s="44"/>
    </row>
    <row r="173" spans="1:6" ht="15.6" x14ac:dyDescent="0.3">
      <c r="A173" s="44"/>
      <c r="B173" s="44"/>
      <c r="C173" s="44"/>
      <c r="D173" s="44"/>
      <c r="E173" s="44"/>
      <c r="F173" s="44"/>
    </row>
    <row r="174" spans="1:6" ht="15.6" x14ac:dyDescent="0.3">
      <c r="A174" s="44"/>
      <c r="B174" s="44"/>
      <c r="C174" s="44"/>
      <c r="D174" s="44"/>
      <c r="E174" s="44"/>
      <c r="F174" s="44"/>
    </row>
    <row r="175" spans="1:6" ht="15.6" x14ac:dyDescent="0.3">
      <c r="A175" s="248" t="s">
        <v>114</v>
      </c>
      <c r="B175" s="248"/>
      <c r="C175" s="248"/>
      <c r="D175" s="248"/>
      <c r="E175" s="248"/>
      <c r="F175" s="176"/>
    </row>
    <row r="176" spans="1:6" ht="15.6" x14ac:dyDescent="0.3">
      <c r="A176" s="44"/>
      <c r="B176" s="44"/>
      <c r="C176" s="44"/>
      <c r="D176" s="44"/>
      <c r="E176" s="44"/>
      <c r="F176" s="44"/>
    </row>
    <row r="177" spans="1:8" ht="15.6" x14ac:dyDescent="0.3">
      <c r="A177" s="44"/>
      <c r="B177" s="44"/>
      <c r="C177" s="44"/>
      <c r="D177" s="44"/>
      <c r="E177" s="44"/>
      <c r="F177" s="44"/>
    </row>
    <row r="178" spans="1:8" ht="15.6" x14ac:dyDescent="0.3">
      <c r="A178" s="44" t="s">
        <v>542</v>
      </c>
      <c r="B178" s="44"/>
      <c r="C178" s="44"/>
      <c r="D178" s="44" t="s">
        <v>502</v>
      </c>
      <c r="E178" s="45">
        <v>45720.75</v>
      </c>
      <c r="F178" s="44"/>
    </row>
    <row r="179" spans="1:8" ht="15.6" x14ac:dyDescent="0.3">
      <c r="A179" s="44" t="s">
        <v>170</v>
      </c>
      <c r="B179" s="44"/>
      <c r="C179" s="44"/>
      <c r="D179" s="44"/>
      <c r="E179" s="44"/>
      <c r="F179" s="44"/>
    </row>
    <row r="180" spans="1:8" ht="15.6" x14ac:dyDescent="0.3">
      <c r="A180" s="44" t="s">
        <v>503</v>
      </c>
      <c r="B180" s="44"/>
      <c r="C180" s="44"/>
      <c r="D180" s="44"/>
      <c r="E180" s="44"/>
      <c r="F180" s="44"/>
    </row>
    <row r="181" spans="1:8" ht="15.6" x14ac:dyDescent="0.3">
      <c r="A181" s="44" t="s">
        <v>504</v>
      </c>
      <c r="B181" s="44"/>
      <c r="C181" s="44"/>
      <c r="D181" s="44"/>
      <c r="E181" s="159">
        <v>80</v>
      </c>
      <c r="F181" s="44"/>
    </row>
    <row r="182" spans="1:8" ht="15.6" x14ac:dyDescent="0.3">
      <c r="A182" s="44"/>
      <c r="B182" s="44"/>
      <c r="C182" s="44"/>
      <c r="D182" s="44"/>
      <c r="E182" s="159"/>
      <c r="F182" s="44">
        <v>69939</v>
      </c>
      <c r="G182" s="4" t="s">
        <v>516</v>
      </c>
      <c r="H182" s="4">
        <v>21261</v>
      </c>
    </row>
    <row r="183" spans="1:8" ht="15.6" x14ac:dyDescent="0.3">
      <c r="A183" s="44"/>
      <c r="B183" s="44"/>
      <c r="C183" s="44"/>
      <c r="D183" s="44"/>
      <c r="E183" s="44"/>
      <c r="F183" s="44">
        <v>57231</v>
      </c>
      <c r="G183" s="4" t="s">
        <v>540</v>
      </c>
      <c r="H183" s="4">
        <v>17398</v>
      </c>
    </row>
    <row r="184" spans="1:8" ht="15.6" x14ac:dyDescent="0.3">
      <c r="A184" s="44" t="s">
        <v>505</v>
      </c>
      <c r="B184" s="44"/>
      <c r="C184" s="44"/>
      <c r="D184" s="44"/>
      <c r="E184" s="160">
        <f>E178-E180-E181-E182</f>
        <v>45640.75</v>
      </c>
      <c r="F184" s="44">
        <v>37199</v>
      </c>
      <c r="G184" s="4" t="s">
        <v>541</v>
      </c>
      <c r="H184" s="4">
        <v>11308</v>
      </c>
    </row>
    <row r="185" spans="1:8" ht="15.6" x14ac:dyDescent="0.3">
      <c r="A185" s="44" t="s">
        <v>543</v>
      </c>
      <c r="B185" s="44"/>
      <c r="C185" s="44"/>
      <c r="D185" s="44"/>
      <c r="E185" s="44">
        <v>567.42999999999995</v>
      </c>
      <c r="F185" s="44"/>
    </row>
    <row r="186" spans="1:8" ht="15.6" x14ac:dyDescent="0.3">
      <c r="A186" s="45" t="s">
        <v>506</v>
      </c>
      <c r="B186" s="45"/>
      <c r="C186" s="44"/>
      <c r="D186" s="44"/>
      <c r="E186" s="160">
        <f>E184+E185</f>
        <v>46208.18</v>
      </c>
      <c r="F186" s="44"/>
    </row>
    <row r="187" spans="1:8" ht="15.6" x14ac:dyDescent="0.3">
      <c r="A187" s="44"/>
      <c r="B187" s="44"/>
      <c r="C187" s="44"/>
      <c r="D187" s="44"/>
      <c r="E187" s="44"/>
      <c r="F187" s="44"/>
    </row>
    <row r="188" spans="1:8" ht="15.6" x14ac:dyDescent="0.3">
      <c r="A188" s="44"/>
      <c r="B188" s="44"/>
      <c r="C188" s="44"/>
      <c r="D188" s="44"/>
      <c r="E188" s="44"/>
      <c r="F188" s="44"/>
    </row>
    <row r="189" spans="1:8" ht="15.6" x14ac:dyDescent="0.3">
      <c r="A189" s="4" t="s">
        <v>0</v>
      </c>
      <c r="B189" s="92"/>
      <c r="C189" s="4" t="s">
        <v>227</v>
      </c>
      <c r="D189" s="44"/>
      <c r="E189" s="44"/>
      <c r="F189" s="44"/>
    </row>
    <row r="190" spans="1:8" ht="15.6" x14ac:dyDescent="0.3">
      <c r="D190" s="44"/>
      <c r="E190" s="44"/>
      <c r="F190" s="44"/>
    </row>
    <row r="191" spans="1:8" ht="18" x14ac:dyDescent="0.35">
      <c r="A191" s="161"/>
      <c r="B191" s="161"/>
      <c r="C191" s="161"/>
      <c r="D191" s="161"/>
      <c r="E191" s="161"/>
      <c r="F191" s="161"/>
    </row>
    <row r="192" spans="1:8" ht="18" x14ac:dyDescent="0.35">
      <c r="A192" s="161"/>
      <c r="B192" s="161"/>
      <c r="C192" s="161"/>
      <c r="D192" s="161"/>
      <c r="E192" s="161"/>
      <c r="F192" s="161"/>
    </row>
  </sheetData>
  <mergeCells count="13">
    <mergeCell ref="A175:E175"/>
    <mergeCell ref="A1:F1"/>
    <mergeCell ref="A2:A3"/>
    <mergeCell ref="B2:B3"/>
    <mergeCell ref="A130:A131"/>
    <mergeCell ref="B130:B131"/>
    <mergeCell ref="A57:A58"/>
    <mergeCell ref="B57:B58"/>
    <mergeCell ref="A117:A118"/>
    <mergeCell ref="B117:B118"/>
    <mergeCell ref="D2:F2"/>
    <mergeCell ref="D57:F57"/>
    <mergeCell ref="D117:F11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76"/>
  <sheetViews>
    <sheetView workbookViewId="0">
      <selection activeCell="A71" sqref="A1:M71"/>
    </sheetView>
  </sheetViews>
  <sheetFormatPr defaultColWidth="8.77734375" defaultRowHeight="14.4" outlineLevelCol="1" x14ac:dyDescent="0.3"/>
  <cols>
    <col min="1" max="1" width="6.88671875" style="3" customWidth="1"/>
    <col min="2" max="2" width="35.33203125" style="3" customWidth="1"/>
    <col min="3" max="3" width="9" style="3" hidden="1" customWidth="1" outlineLevel="1"/>
    <col min="4" max="4" width="9.21875" style="3" hidden="1" customWidth="1" outlineLevel="1"/>
    <col min="5" max="5" width="8.6640625" style="3" hidden="1" customWidth="1" outlineLevel="1"/>
    <col min="6" max="8" width="8.77734375" style="3" hidden="1" customWidth="1" outlineLevel="1"/>
    <col min="9" max="9" width="9.109375" style="3" customWidth="1" collapsed="1"/>
    <col min="10" max="10" width="9.88671875" style="3" customWidth="1"/>
    <col min="11" max="12" width="9.44140625" style="3" customWidth="1"/>
    <col min="13" max="16384" width="8.77734375" style="3"/>
  </cols>
  <sheetData>
    <row r="1" spans="1:12" ht="39.6" customHeight="1" x14ac:dyDescent="0.3">
      <c r="A1" s="204" t="s">
        <v>202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2" ht="25.2" customHeight="1" x14ac:dyDescent="0.3">
      <c r="A2" s="256" t="s">
        <v>528</v>
      </c>
      <c r="B2" s="256"/>
      <c r="C2" s="256"/>
      <c r="D2" s="256"/>
      <c r="J2" s="3" t="s">
        <v>105</v>
      </c>
    </row>
    <row r="3" spans="1:12" ht="27.45" customHeight="1" x14ac:dyDescent="0.3">
      <c r="A3" s="27" t="s">
        <v>159</v>
      </c>
      <c r="B3" s="27" t="s">
        <v>86</v>
      </c>
      <c r="C3" s="27" t="s">
        <v>277</v>
      </c>
      <c r="D3" s="28" t="s">
        <v>376</v>
      </c>
      <c r="E3" s="27" t="s">
        <v>267</v>
      </c>
      <c r="F3" s="28" t="s">
        <v>396</v>
      </c>
      <c r="G3" s="27" t="s">
        <v>399</v>
      </c>
      <c r="H3" s="28" t="s">
        <v>400</v>
      </c>
      <c r="I3" s="27" t="s">
        <v>455</v>
      </c>
      <c r="J3" s="28" t="s">
        <v>456</v>
      </c>
      <c r="K3" s="27" t="s">
        <v>517</v>
      </c>
      <c r="L3" s="28" t="s">
        <v>523</v>
      </c>
    </row>
    <row r="4" spans="1:12" x14ac:dyDescent="0.3">
      <c r="A4" s="27">
        <v>1</v>
      </c>
      <c r="B4" s="26" t="s">
        <v>160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x14ac:dyDescent="0.3">
      <c r="A5" s="106" t="s">
        <v>278</v>
      </c>
      <c r="B5" s="40" t="s">
        <v>279</v>
      </c>
      <c r="C5" s="40">
        <v>2154.38</v>
      </c>
      <c r="D5" s="40">
        <f>D6+D9</f>
        <v>2589.1999999999998</v>
      </c>
      <c r="E5" s="40">
        <v>2321.08</v>
      </c>
      <c r="F5" s="40">
        <f>F6+F9</f>
        <v>5381.66</v>
      </c>
      <c r="G5" s="40">
        <v>2405.87</v>
      </c>
      <c r="H5" s="40">
        <f>H6+H9</f>
        <v>3849.54</v>
      </c>
      <c r="I5" s="40">
        <f>I6+I9</f>
        <v>4402.26</v>
      </c>
      <c r="J5" s="40">
        <f>J6+J9</f>
        <v>3394.0799999999995</v>
      </c>
      <c r="K5" s="40">
        <f>K6+K9</f>
        <v>4612.12</v>
      </c>
      <c r="L5" s="40">
        <f>L6+L9</f>
        <v>6880.97</v>
      </c>
    </row>
    <row r="6" spans="1:12" x14ac:dyDescent="0.3">
      <c r="A6" s="102" t="s">
        <v>280</v>
      </c>
      <c r="B6" s="28" t="s">
        <v>233</v>
      </c>
      <c r="C6" s="27">
        <v>2154.38</v>
      </c>
      <c r="D6" s="27">
        <v>2271.4499999999998</v>
      </c>
      <c r="E6" s="27">
        <v>2321.08</v>
      </c>
      <c r="F6" s="27">
        <f>F7+F8</f>
        <v>3691.38</v>
      </c>
      <c r="G6" s="27">
        <v>2405.87</v>
      </c>
      <c r="H6" s="27">
        <v>3092.23</v>
      </c>
      <c r="I6" s="27">
        <v>3907.19</v>
      </c>
      <c r="J6" s="27">
        <f>J7+J8</f>
        <v>3270.6499999999996</v>
      </c>
      <c r="K6" s="27">
        <v>4093.45</v>
      </c>
      <c r="L6" s="27">
        <f>L7+L8</f>
        <v>4147.26</v>
      </c>
    </row>
    <row r="7" spans="1:12" x14ac:dyDescent="0.3">
      <c r="A7" s="102" t="s">
        <v>281</v>
      </c>
      <c r="B7" s="28" t="s">
        <v>229</v>
      </c>
      <c r="C7" s="27">
        <v>1202.6300000000001</v>
      </c>
      <c r="D7" s="27">
        <v>1600.62</v>
      </c>
      <c r="E7" s="27">
        <v>1295.69</v>
      </c>
      <c r="F7" s="27">
        <v>1590.86</v>
      </c>
      <c r="G7" s="27">
        <v>1343.02</v>
      </c>
      <c r="H7" s="27">
        <v>1744.6</v>
      </c>
      <c r="I7" s="27">
        <v>2163.62</v>
      </c>
      <c r="J7" s="27">
        <v>1847.1</v>
      </c>
      <c r="K7" s="27">
        <v>2266.7600000000002</v>
      </c>
      <c r="L7" s="27">
        <v>1716.93</v>
      </c>
    </row>
    <row r="8" spans="1:12" x14ac:dyDescent="0.3">
      <c r="A8" s="102" t="s">
        <v>282</v>
      </c>
      <c r="B8" s="28" t="s">
        <v>283</v>
      </c>
      <c r="C8" s="27">
        <v>951.75</v>
      </c>
      <c r="D8" s="27">
        <f>D6-D7</f>
        <v>670.82999999999993</v>
      </c>
      <c r="E8" s="27">
        <v>1025.3900000000001</v>
      </c>
      <c r="F8" s="27">
        <v>2100.52</v>
      </c>
      <c r="G8" s="27">
        <v>1062.8499999999999</v>
      </c>
      <c r="H8" s="27">
        <f>H6-H7</f>
        <v>1347.63</v>
      </c>
      <c r="I8" s="27">
        <v>1743.57</v>
      </c>
      <c r="J8" s="27">
        <v>1423.55</v>
      </c>
      <c r="K8" s="27">
        <v>1826.68</v>
      </c>
      <c r="L8" s="27">
        <v>2430.33</v>
      </c>
    </row>
    <row r="9" spans="1:12" ht="38.4" customHeight="1" x14ac:dyDescent="0.3">
      <c r="A9" s="102" t="s">
        <v>285</v>
      </c>
      <c r="B9" s="28" t="s">
        <v>284</v>
      </c>
      <c r="C9" s="27">
        <v>0</v>
      </c>
      <c r="D9" s="27">
        <v>317.75</v>
      </c>
      <c r="E9" s="27">
        <v>0</v>
      </c>
      <c r="F9" s="27">
        <v>1690.28</v>
      </c>
      <c r="G9" s="27">
        <v>0</v>
      </c>
      <c r="H9" s="27">
        <v>757.31</v>
      </c>
      <c r="I9" s="27">
        <v>495.07</v>
      </c>
      <c r="J9" s="27">
        <v>123.43</v>
      </c>
      <c r="K9" s="27">
        <v>518.66999999999996</v>
      </c>
      <c r="L9" s="27">
        <v>2733.71</v>
      </c>
    </row>
    <row r="10" spans="1:12" x14ac:dyDescent="0.3">
      <c r="A10" s="105" t="s">
        <v>286</v>
      </c>
      <c r="B10" s="40" t="s">
        <v>161</v>
      </c>
      <c r="C10" s="100">
        <v>28088.3</v>
      </c>
      <c r="D10" s="40">
        <v>27380.42</v>
      </c>
      <c r="E10" s="100">
        <v>30261.72</v>
      </c>
      <c r="F10" s="40">
        <v>32421.33</v>
      </c>
      <c r="G10" s="40">
        <v>31367.18</v>
      </c>
      <c r="H10" s="40">
        <v>31067.59</v>
      </c>
      <c r="I10" s="40">
        <v>43324.76</v>
      </c>
      <c r="J10" s="40">
        <v>40980.519999999997</v>
      </c>
      <c r="K10" s="100">
        <v>45390.03</v>
      </c>
      <c r="L10" s="40">
        <v>46043.78</v>
      </c>
    </row>
    <row r="11" spans="1:12" ht="22.8" customHeight="1" x14ac:dyDescent="0.3">
      <c r="A11" s="105" t="s">
        <v>287</v>
      </c>
      <c r="B11" s="40" t="s">
        <v>162</v>
      </c>
      <c r="C11" s="40">
        <v>3620.23</v>
      </c>
      <c r="D11" s="40">
        <f>D12+D13</f>
        <v>4853.1200000000008</v>
      </c>
      <c r="E11" s="40">
        <v>3900.35</v>
      </c>
      <c r="F11" s="40">
        <f>F12+F13</f>
        <v>4806.1900000000005</v>
      </c>
      <c r="G11" s="40">
        <v>4042.83</v>
      </c>
      <c r="H11" s="40">
        <f>H12+H13</f>
        <v>3624.6000000000004</v>
      </c>
      <c r="I11" s="40">
        <v>6150.77</v>
      </c>
      <c r="J11" s="40">
        <f>J12+J13</f>
        <v>4304.74</v>
      </c>
      <c r="K11" s="40">
        <v>6443.97</v>
      </c>
      <c r="L11" s="40">
        <f>L12+L13</f>
        <v>7013.09</v>
      </c>
    </row>
    <row r="12" spans="1:12" x14ac:dyDescent="0.3">
      <c r="A12" s="107" t="s">
        <v>288</v>
      </c>
      <c r="B12" s="28" t="s">
        <v>289</v>
      </c>
      <c r="C12" s="96">
        <v>2057.3000000000002</v>
      </c>
      <c r="D12" s="27">
        <v>2051.5500000000002</v>
      </c>
      <c r="E12" s="96">
        <v>2216.44</v>
      </c>
      <c r="F12" s="27">
        <v>1846.34</v>
      </c>
      <c r="G12" s="27">
        <v>2297.41</v>
      </c>
      <c r="H12" s="27">
        <v>968.28</v>
      </c>
      <c r="I12" s="27">
        <v>3284.31</v>
      </c>
      <c r="J12" s="27">
        <v>1396.73</v>
      </c>
      <c r="K12" s="27">
        <v>3440.87</v>
      </c>
      <c r="L12" s="27">
        <v>3638.98</v>
      </c>
    </row>
    <row r="13" spans="1:12" ht="28.8" x14ac:dyDescent="0.3">
      <c r="A13" s="107" t="s">
        <v>290</v>
      </c>
      <c r="B13" s="28" t="s">
        <v>291</v>
      </c>
      <c r="C13" s="27">
        <v>1562.97</v>
      </c>
      <c r="D13" s="27">
        <v>2801.57</v>
      </c>
      <c r="E13" s="27">
        <v>1683.91</v>
      </c>
      <c r="F13" s="27">
        <f>F14+F15+F16+F17+F18+F19+F20+F21+F22+F23+F25+F26+F24+F27+F28+F29</f>
        <v>2959.8500000000004</v>
      </c>
      <c r="G13" s="27">
        <v>1745.43</v>
      </c>
      <c r="H13" s="27">
        <f>H14+H15+H16+H17+H18+H19+H20+H21+H22+H23+H25+H26+H24+H27+H28+H29</f>
        <v>2656.32</v>
      </c>
      <c r="I13" s="27">
        <v>2866.46</v>
      </c>
      <c r="J13" s="27">
        <f>J14+J15+J16+J17+J18+J19+J20+J21+J22+J23+J25+J26+J24+J27+J28+J29</f>
        <v>2908.0099999999993</v>
      </c>
      <c r="K13" s="27">
        <v>3003.11</v>
      </c>
      <c r="L13" s="27">
        <f>L14+L15+L16+L18+L24+L25+L26+L29</f>
        <v>3374.1099999999997</v>
      </c>
    </row>
    <row r="14" spans="1:12" x14ac:dyDescent="0.3">
      <c r="A14" s="102" t="s">
        <v>292</v>
      </c>
      <c r="B14" s="27" t="s">
        <v>93</v>
      </c>
      <c r="C14" s="27">
        <v>213.65</v>
      </c>
      <c r="D14" s="27">
        <v>391.9</v>
      </c>
      <c r="E14" s="27">
        <v>230.18</v>
      </c>
      <c r="F14" s="27">
        <v>389.29</v>
      </c>
      <c r="G14" s="27">
        <v>238.59</v>
      </c>
      <c r="H14" s="27">
        <v>398.87</v>
      </c>
      <c r="I14" s="27">
        <v>364.46</v>
      </c>
      <c r="J14" s="27">
        <v>383.84</v>
      </c>
      <c r="K14" s="27">
        <v>381.84</v>
      </c>
      <c r="L14" s="27">
        <v>387.24</v>
      </c>
    </row>
    <row r="15" spans="1:12" ht="28.8" x14ac:dyDescent="0.3">
      <c r="A15" s="103" t="s">
        <v>306</v>
      </c>
      <c r="B15" s="28" t="s">
        <v>293</v>
      </c>
      <c r="C15" s="96">
        <v>207.9</v>
      </c>
      <c r="D15" s="27">
        <v>208.9</v>
      </c>
      <c r="E15" s="96">
        <v>223.99</v>
      </c>
      <c r="F15" s="27">
        <v>211.3</v>
      </c>
      <c r="G15" s="27">
        <v>232.17</v>
      </c>
      <c r="H15" s="27">
        <v>232.89</v>
      </c>
      <c r="I15" s="27">
        <v>195.18</v>
      </c>
      <c r="J15" s="27">
        <v>198.32</v>
      </c>
      <c r="K15" s="27">
        <v>204.48</v>
      </c>
      <c r="L15" s="27">
        <v>203.96</v>
      </c>
    </row>
    <row r="16" spans="1:12" ht="28.8" customHeight="1" x14ac:dyDescent="0.3">
      <c r="A16" s="103" t="s">
        <v>307</v>
      </c>
      <c r="B16" s="28" t="s">
        <v>294</v>
      </c>
      <c r="C16" s="27">
        <v>68.66</v>
      </c>
      <c r="D16" s="27">
        <v>59.98</v>
      </c>
      <c r="E16" s="27">
        <v>73.97</v>
      </c>
      <c r="F16" s="27">
        <f>29.64+9.3+11.4</f>
        <v>50.339999999999996</v>
      </c>
      <c r="G16" s="27">
        <v>76.67</v>
      </c>
      <c r="H16" s="27">
        <f>9.41+13.34+25.24</f>
        <v>47.989999999999995</v>
      </c>
      <c r="I16" s="27">
        <v>57.8</v>
      </c>
      <c r="J16" s="27">
        <f>11.29+13.18+31.69</f>
        <v>56.16</v>
      </c>
      <c r="K16" s="27">
        <v>60.55</v>
      </c>
      <c r="L16" s="96">
        <f>17.56+14.07+31.78+6.99</f>
        <v>70.399999999999991</v>
      </c>
    </row>
    <row r="17" spans="1:12" ht="16.5" customHeight="1" x14ac:dyDescent="0.3">
      <c r="A17" s="103" t="s">
        <v>308</v>
      </c>
      <c r="B17" s="28" t="s">
        <v>295</v>
      </c>
      <c r="C17" s="96">
        <v>125</v>
      </c>
      <c r="D17" s="27">
        <v>66</v>
      </c>
      <c r="E17" s="96">
        <v>134.66999999999999</v>
      </c>
      <c r="F17" s="27"/>
      <c r="G17" s="27">
        <v>139.59</v>
      </c>
      <c r="H17" s="27"/>
      <c r="I17" s="27"/>
      <c r="J17" s="27"/>
      <c r="K17" s="27"/>
      <c r="L17" s="27"/>
    </row>
    <row r="18" spans="1:12" ht="16.5" customHeight="1" x14ac:dyDescent="0.3">
      <c r="A18" s="103" t="s">
        <v>309</v>
      </c>
      <c r="B18" s="28" t="s">
        <v>250</v>
      </c>
      <c r="C18" s="27">
        <v>245.18</v>
      </c>
      <c r="D18" s="27">
        <v>325.2</v>
      </c>
      <c r="E18" s="27">
        <v>264.14999999999998</v>
      </c>
      <c r="F18" s="27">
        <v>411.23</v>
      </c>
      <c r="G18" s="27">
        <v>273.8</v>
      </c>
      <c r="H18" s="27">
        <v>357.95</v>
      </c>
      <c r="I18" s="27">
        <v>434.54</v>
      </c>
      <c r="J18" s="27">
        <v>490.96</v>
      </c>
      <c r="K18" s="27">
        <v>455.25</v>
      </c>
      <c r="L18" s="27">
        <v>439.43</v>
      </c>
    </row>
    <row r="19" spans="1:12" x14ac:dyDescent="0.3">
      <c r="A19" s="103" t="s">
        <v>310</v>
      </c>
      <c r="B19" s="28" t="s">
        <v>296</v>
      </c>
      <c r="C19" s="27">
        <v>0</v>
      </c>
      <c r="D19" s="27">
        <v>32.630000000000003</v>
      </c>
      <c r="E19" s="27">
        <v>0</v>
      </c>
      <c r="F19" s="27"/>
      <c r="G19" s="27"/>
      <c r="H19" s="27"/>
      <c r="I19" s="27"/>
      <c r="J19" s="27"/>
      <c r="K19" s="27"/>
      <c r="L19" s="27"/>
    </row>
    <row r="20" spans="1:12" x14ac:dyDescent="0.3">
      <c r="A20" s="103" t="s">
        <v>311</v>
      </c>
      <c r="B20" s="28" t="s">
        <v>297</v>
      </c>
      <c r="C20" s="27">
        <v>0</v>
      </c>
      <c r="D20" s="27"/>
      <c r="E20" s="27">
        <v>0</v>
      </c>
      <c r="F20" s="27"/>
      <c r="G20" s="27"/>
      <c r="H20" s="27"/>
      <c r="I20" s="27"/>
      <c r="J20" s="27"/>
      <c r="K20" s="27"/>
      <c r="L20" s="27"/>
    </row>
    <row r="21" spans="1:12" x14ac:dyDescent="0.3">
      <c r="A21" s="103" t="s">
        <v>312</v>
      </c>
      <c r="B21" s="28" t="s">
        <v>298</v>
      </c>
      <c r="C21" s="27">
        <v>0</v>
      </c>
      <c r="D21" s="27"/>
      <c r="E21" s="27">
        <v>0</v>
      </c>
      <c r="F21" s="27"/>
      <c r="G21" s="27"/>
      <c r="H21" s="27"/>
      <c r="I21" s="27"/>
      <c r="J21" s="96">
        <v>199</v>
      </c>
      <c r="K21" s="27"/>
      <c r="L21" s="27"/>
    </row>
    <row r="22" spans="1:12" x14ac:dyDescent="0.3">
      <c r="A22" s="103" t="s">
        <v>313</v>
      </c>
      <c r="B22" s="28" t="s">
        <v>299</v>
      </c>
      <c r="C22" s="27">
        <v>0</v>
      </c>
      <c r="D22" s="27"/>
      <c r="E22" s="27">
        <v>0</v>
      </c>
      <c r="F22" s="27"/>
      <c r="G22" s="27"/>
      <c r="H22" s="27"/>
      <c r="I22" s="27"/>
      <c r="J22" s="27"/>
      <c r="K22" s="27"/>
      <c r="L22" s="27"/>
    </row>
    <row r="23" spans="1:12" ht="27" customHeight="1" x14ac:dyDescent="0.3">
      <c r="A23" s="103" t="s">
        <v>314</v>
      </c>
      <c r="B23" s="69" t="s">
        <v>301</v>
      </c>
      <c r="C23" s="27">
        <v>0</v>
      </c>
      <c r="D23" s="27"/>
      <c r="E23" s="27">
        <v>0</v>
      </c>
      <c r="F23" s="27"/>
      <c r="G23" s="27"/>
      <c r="H23" s="27"/>
      <c r="I23" s="27"/>
      <c r="J23" s="27"/>
      <c r="K23" s="27"/>
      <c r="L23" s="27"/>
    </row>
    <row r="24" spans="1:12" ht="28.8" x14ac:dyDescent="0.3">
      <c r="A24" s="103" t="s">
        <v>315</v>
      </c>
      <c r="B24" s="28" t="s">
        <v>300</v>
      </c>
      <c r="C24" s="27">
        <v>129.13999999999999</v>
      </c>
      <c r="D24" s="27">
        <v>544.87</v>
      </c>
      <c r="E24" s="27">
        <v>139.13</v>
      </c>
      <c r="F24" s="27">
        <f>160.13+63.53</f>
        <v>223.66</v>
      </c>
      <c r="G24" s="27">
        <v>144.21</v>
      </c>
      <c r="H24" s="27">
        <v>282.33</v>
      </c>
      <c r="I24" s="27">
        <v>395.03</v>
      </c>
      <c r="J24" s="27">
        <v>444.58</v>
      </c>
      <c r="K24" s="27">
        <v>413.87</v>
      </c>
      <c r="L24" s="27">
        <v>570.66999999999996</v>
      </c>
    </row>
    <row r="25" spans="1:12" x14ac:dyDescent="0.3">
      <c r="A25" s="103" t="s">
        <v>316</v>
      </c>
      <c r="B25" s="97" t="s">
        <v>302</v>
      </c>
      <c r="C25" s="27">
        <v>126</v>
      </c>
      <c r="D25" s="27">
        <v>250.1</v>
      </c>
      <c r="E25" s="27">
        <v>135.75</v>
      </c>
      <c r="F25" s="27">
        <v>223.03</v>
      </c>
      <c r="G25" s="27">
        <v>140.71</v>
      </c>
      <c r="H25" s="27">
        <v>74</v>
      </c>
      <c r="I25" s="27">
        <v>192.61</v>
      </c>
      <c r="J25" s="27">
        <v>132.65</v>
      </c>
      <c r="K25" s="27">
        <v>201.6</v>
      </c>
      <c r="L25" s="27">
        <v>197.84</v>
      </c>
    </row>
    <row r="26" spans="1:12" x14ac:dyDescent="0.3">
      <c r="A26" s="103" t="s">
        <v>317</v>
      </c>
      <c r="B26" s="97" t="s">
        <v>303</v>
      </c>
      <c r="C26" s="27">
        <v>40</v>
      </c>
      <c r="D26" s="27">
        <v>51.63</v>
      </c>
      <c r="E26" s="27">
        <v>43.1</v>
      </c>
      <c r="F26" s="27">
        <v>56.39</v>
      </c>
      <c r="G26" s="27">
        <v>44.67</v>
      </c>
      <c r="H26" s="27">
        <v>54.75</v>
      </c>
      <c r="I26" s="27">
        <v>52.41</v>
      </c>
      <c r="J26" s="27">
        <v>59.37</v>
      </c>
      <c r="K26" s="27">
        <v>54.91</v>
      </c>
      <c r="L26" s="27">
        <v>57.44</v>
      </c>
    </row>
    <row r="27" spans="1:12" x14ac:dyDescent="0.3">
      <c r="A27" s="103" t="s">
        <v>318</v>
      </c>
      <c r="B27" s="28" t="s">
        <v>304</v>
      </c>
      <c r="C27" s="27">
        <v>0</v>
      </c>
      <c r="D27" s="27"/>
      <c r="E27" s="27">
        <v>0</v>
      </c>
      <c r="F27" s="27"/>
      <c r="G27" s="27"/>
      <c r="H27" s="27"/>
      <c r="I27" s="27"/>
      <c r="J27" s="27"/>
      <c r="K27" s="27"/>
      <c r="L27" s="27"/>
    </row>
    <row r="28" spans="1:12" ht="13.95" customHeight="1" x14ac:dyDescent="0.3">
      <c r="A28" s="103" t="s">
        <v>319</v>
      </c>
      <c r="B28" s="28" t="s">
        <v>305</v>
      </c>
      <c r="C28" s="27">
        <v>0</v>
      </c>
      <c r="D28" s="27"/>
      <c r="E28" s="27">
        <v>0</v>
      </c>
      <c r="F28" s="27"/>
      <c r="G28" s="27"/>
      <c r="H28" s="27"/>
      <c r="I28" s="27"/>
      <c r="J28" s="27"/>
      <c r="K28" s="27"/>
      <c r="L28" s="27"/>
    </row>
    <row r="29" spans="1:12" ht="13.95" customHeight="1" x14ac:dyDescent="0.3">
      <c r="A29" s="103" t="s">
        <v>320</v>
      </c>
      <c r="B29" s="28" t="s">
        <v>163</v>
      </c>
      <c r="C29" s="29">
        <v>407.45</v>
      </c>
      <c r="D29" s="27">
        <v>870.36</v>
      </c>
      <c r="E29" s="122">
        <v>438.98</v>
      </c>
      <c r="F29" s="27">
        <v>1394.61</v>
      </c>
      <c r="G29" s="27">
        <v>455.02</v>
      </c>
      <c r="H29" s="27">
        <f>2744.38-1536.84</f>
        <v>1207.5400000000002</v>
      </c>
      <c r="I29" s="27">
        <v>1174.43</v>
      </c>
      <c r="J29" s="96">
        <f>4001.66-1153.02-J14-J15-J16-J18-J24-J25-J21</f>
        <v>943.12999999999965</v>
      </c>
      <c r="K29" s="27">
        <v>1230.42</v>
      </c>
      <c r="L29" s="27">
        <f>38.23+13.83+634.48+124.41+232.37+2.77+107.97+1.67+2.55+277.05+11.8</f>
        <v>1447.1299999999999</v>
      </c>
    </row>
    <row r="30" spans="1:12" ht="13.95" customHeight="1" x14ac:dyDescent="0.3">
      <c r="A30" s="108" t="s">
        <v>226</v>
      </c>
      <c r="B30" s="177" t="s">
        <v>321</v>
      </c>
      <c r="C30" s="100">
        <v>53.4</v>
      </c>
      <c r="D30" s="40">
        <v>51.2</v>
      </c>
      <c r="E30" s="100">
        <v>57.5</v>
      </c>
      <c r="F30" s="100">
        <f>F31+F34</f>
        <v>54.839999999999996</v>
      </c>
      <c r="G30" s="40">
        <v>59.6</v>
      </c>
      <c r="H30" s="40">
        <f>H31</f>
        <v>55.8</v>
      </c>
      <c r="I30" s="40">
        <v>96.69</v>
      </c>
      <c r="J30" s="40">
        <f>J31</f>
        <v>60</v>
      </c>
      <c r="K30" s="40">
        <v>101.3</v>
      </c>
      <c r="L30" s="40">
        <v>168.3</v>
      </c>
    </row>
    <row r="31" spans="1:12" ht="13.95" customHeight="1" x14ac:dyDescent="0.3">
      <c r="A31" s="103" t="s">
        <v>326</v>
      </c>
      <c r="B31" s="28" t="s">
        <v>322</v>
      </c>
      <c r="C31" s="96">
        <v>53.4</v>
      </c>
      <c r="D31" s="27">
        <v>51.2</v>
      </c>
      <c r="E31" s="96">
        <v>57.5</v>
      </c>
      <c r="F31" s="96">
        <v>49.3</v>
      </c>
      <c r="G31" s="27">
        <v>59.6</v>
      </c>
      <c r="H31" s="27">
        <v>55.8</v>
      </c>
      <c r="I31" s="27">
        <v>96.69</v>
      </c>
      <c r="J31" s="27">
        <v>60</v>
      </c>
      <c r="K31" s="27">
        <v>101.3</v>
      </c>
      <c r="L31" s="27">
        <v>168.3</v>
      </c>
    </row>
    <row r="32" spans="1:12" ht="13.95" customHeight="1" x14ac:dyDescent="0.3">
      <c r="A32" s="103" t="s">
        <v>327</v>
      </c>
      <c r="B32" s="28" t="s">
        <v>323</v>
      </c>
      <c r="C32" s="96">
        <v>0</v>
      </c>
      <c r="D32" s="27"/>
      <c r="E32" s="96">
        <v>0</v>
      </c>
      <c r="F32" s="27"/>
      <c r="G32" s="27"/>
      <c r="H32" s="27"/>
      <c r="I32" s="27"/>
      <c r="J32" s="27"/>
      <c r="K32" s="27"/>
      <c r="L32" s="27"/>
    </row>
    <row r="33" spans="1:14" ht="24.6" customHeight="1" x14ac:dyDescent="0.3">
      <c r="A33" s="103" t="s">
        <v>328</v>
      </c>
      <c r="B33" s="28" t="s">
        <v>324</v>
      </c>
      <c r="C33" s="96">
        <v>0</v>
      </c>
      <c r="D33" s="27"/>
      <c r="E33" s="96">
        <v>0</v>
      </c>
      <c r="F33" s="27"/>
      <c r="G33" s="27"/>
      <c r="H33" s="27"/>
      <c r="I33" s="27"/>
      <c r="J33" s="27"/>
      <c r="K33" s="27"/>
      <c r="L33" s="27"/>
    </row>
    <row r="34" spans="1:14" ht="16.2" customHeight="1" x14ac:dyDescent="0.3">
      <c r="A34" s="103" t="s">
        <v>329</v>
      </c>
      <c r="B34" s="28" t="s">
        <v>325</v>
      </c>
      <c r="C34" s="96">
        <v>0</v>
      </c>
      <c r="D34" s="27"/>
      <c r="E34" s="96">
        <v>0</v>
      </c>
      <c r="F34" s="27">
        <v>5.54</v>
      </c>
      <c r="G34" s="27"/>
      <c r="H34" s="27"/>
      <c r="I34" s="27"/>
      <c r="J34" s="27"/>
      <c r="K34" s="27"/>
      <c r="L34" s="27"/>
    </row>
    <row r="35" spans="1:14" ht="30.6" customHeight="1" x14ac:dyDescent="0.3">
      <c r="A35" s="109" t="s">
        <v>330</v>
      </c>
      <c r="B35" s="177" t="s">
        <v>331</v>
      </c>
      <c r="C35" s="100">
        <v>142.22999999999999</v>
      </c>
      <c r="D35" s="40">
        <v>68.400000000000006</v>
      </c>
      <c r="E35" s="100">
        <v>153.22999999999999</v>
      </c>
      <c r="F35" s="40">
        <v>43</v>
      </c>
      <c r="G35" s="40">
        <v>158.83000000000001</v>
      </c>
      <c r="H35" s="40">
        <f>H37+H39</f>
        <v>287.87</v>
      </c>
      <c r="I35" s="40">
        <v>425.64</v>
      </c>
      <c r="J35" s="40">
        <f>J37+J39</f>
        <v>263.64</v>
      </c>
      <c r="K35" s="40">
        <v>445.93</v>
      </c>
      <c r="L35" s="40">
        <v>390.02</v>
      </c>
    </row>
    <row r="36" spans="1:14" x14ac:dyDescent="0.3">
      <c r="A36" s="103" t="s">
        <v>336</v>
      </c>
      <c r="B36" s="28" t="s">
        <v>332</v>
      </c>
      <c r="C36" s="96">
        <v>0</v>
      </c>
      <c r="D36" s="27"/>
      <c r="E36" s="96">
        <v>0</v>
      </c>
      <c r="F36" s="27"/>
      <c r="G36" s="27"/>
      <c r="H36" s="27"/>
      <c r="I36" s="27"/>
      <c r="J36" s="27"/>
      <c r="K36" s="27"/>
      <c r="L36" s="27"/>
    </row>
    <row r="37" spans="1:14" ht="22.8" customHeight="1" x14ac:dyDescent="0.3">
      <c r="A37" s="103" t="s">
        <v>337</v>
      </c>
      <c r="B37" s="69" t="s">
        <v>333</v>
      </c>
      <c r="C37" s="96">
        <v>142.22999999999999</v>
      </c>
      <c r="D37" s="27">
        <v>68.400000000000006</v>
      </c>
      <c r="E37" s="96">
        <v>153.22999999999999</v>
      </c>
      <c r="F37" s="27">
        <v>43</v>
      </c>
      <c r="G37" s="27">
        <v>158.83000000000001</v>
      </c>
      <c r="H37" s="27">
        <v>114.55</v>
      </c>
      <c r="I37" s="27">
        <v>425.64</v>
      </c>
      <c r="J37" s="27">
        <f>158.06+105.58</f>
        <v>263.64</v>
      </c>
      <c r="K37" s="27">
        <v>445.93</v>
      </c>
      <c r="L37" s="27">
        <f>225.85+164.17</f>
        <v>390.02</v>
      </c>
    </row>
    <row r="38" spans="1:14" ht="16.05" customHeight="1" x14ac:dyDescent="0.3">
      <c r="A38" s="103" t="s">
        <v>338</v>
      </c>
      <c r="B38" s="28" t="s">
        <v>334</v>
      </c>
      <c r="C38" s="96">
        <v>0</v>
      </c>
      <c r="D38" s="27"/>
      <c r="E38" s="96">
        <v>0</v>
      </c>
      <c r="F38" s="27"/>
      <c r="G38" s="27"/>
      <c r="H38" s="27"/>
      <c r="I38" s="27"/>
      <c r="J38" s="27"/>
      <c r="K38" s="27"/>
      <c r="L38" s="27"/>
    </row>
    <row r="39" spans="1:14" x14ac:dyDescent="0.3">
      <c r="A39" s="103" t="s">
        <v>339</v>
      </c>
      <c r="B39" s="28" t="s">
        <v>486</v>
      </c>
      <c r="C39" s="96">
        <v>0</v>
      </c>
      <c r="D39" s="27"/>
      <c r="E39" s="96">
        <v>0</v>
      </c>
      <c r="F39" s="27"/>
      <c r="G39" s="27"/>
      <c r="H39" s="27">
        <v>173.32</v>
      </c>
      <c r="I39" s="27"/>
      <c r="J39" s="27"/>
      <c r="K39" s="27"/>
      <c r="L39" s="27"/>
      <c r="M39" s="37"/>
      <c r="N39" s="37"/>
    </row>
    <row r="40" spans="1:14" ht="27" x14ac:dyDescent="0.3">
      <c r="A40" s="103"/>
      <c r="B40" s="34" t="s">
        <v>164</v>
      </c>
      <c r="C40" s="100">
        <f t="shared" ref="C40:L40" si="0">C5+C10+C11+C30+C35</f>
        <v>34058.540000000008</v>
      </c>
      <c r="D40" s="100">
        <f t="shared" si="0"/>
        <v>34942.339999999997</v>
      </c>
      <c r="E40" s="100">
        <f t="shared" si="0"/>
        <v>36693.880000000005</v>
      </c>
      <c r="F40" s="100">
        <f t="shared" si="0"/>
        <v>42707.020000000004</v>
      </c>
      <c r="G40" s="100">
        <f t="shared" si="0"/>
        <v>38034.310000000005</v>
      </c>
      <c r="H40" s="100">
        <f t="shared" si="0"/>
        <v>38885.4</v>
      </c>
      <c r="I40" s="100">
        <f t="shared" si="0"/>
        <v>54400.12000000001</v>
      </c>
      <c r="J40" s="100">
        <f t="shared" si="0"/>
        <v>49002.979999999996</v>
      </c>
      <c r="K40" s="100">
        <f t="shared" si="0"/>
        <v>56993.350000000006</v>
      </c>
      <c r="L40" s="100">
        <f t="shared" si="0"/>
        <v>60496.159999999996</v>
      </c>
      <c r="M40" s="37"/>
      <c r="N40" s="37"/>
    </row>
    <row r="41" spans="1:14" x14ac:dyDescent="0.3">
      <c r="A41" s="104"/>
      <c r="B41" s="98"/>
      <c r="C41" s="98"/>
      <c r="D41" s="98"/>
      <c r="E41" s="99"/>
      <c r="I41" s="37"/>
      <c r="J41" s="37"/>
      <c r="K41" s="37"/>
      <c r="L41" s="37"/>
      <c r="M41" s="37"/>
      <c r="N41" s="37"/>
    </row>
    <row r="42" spans="1:14" x14ac:dyDescent="0.3">
      <c r="A42" s="104"/>
      <c r="B42" s="98"/>
      <c r="C42" s="98"/>
      <c r="D42" s="98"/>
      <c r="E42" s="99"/>
    </row>
    <row r="43" spans="1:14" ht="28.95" customHeight="1" x14ac:dyDescent="0.3">
      <c r="A43" s="103"/>
      <c r="B43" s="110" t="s">
        <v>165</v>
      </c>
      <c r="C43" s="27" t="s">
        <v>277</v>
      </c>
      <c r="D43" s="28" t="s">
        <v>376</v>
      </c>
      <c r="E43" s="27" t="s">
        <v>267</v>
      </c>
      <c r="F43" s="28" t="s">
        <v>396</v>
      </c>
      <c r="G43" s="27" t="s">
        <v>399</v>
      </c>
      <c r="H43" s="28" t="s">
        <v>400</v>
      </c>
      <c r="I43" s="27" t="s">
        <v>455</v>
      </c>
      <c r="J43" s="28" t="s">
        <v>456</v>
      </c>
      <c r="K43" s="27" t="s">
        <v>517</v>
      </c>
      <c r="L43" s="28" t="s">
        <v>523</v>
      </c>
    </row>
    <row r="44" spans="1:14" x14ac:dyDescent="0.3">
      <c r="A44" s="27" t="s">
        <v>159</v>
      </c>
      <c r="B44" s="27" t="s">
        <v>86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4" x14ac:dyDescent="0.3">
      <c r="A45" s="103" t="s">
        <v>340</v>
      </c>
      <c r="B45" s="111" t="s">
        <v>341</v>
      </c>
      <c r="C45" s="27">
        <v>5528.72</v>
      </c>
      <c r="D45" s="27">
        <v>9074.0499999999993</v>
      </c>
      <c r="E45" s="27">
        <v>9557.8700000000008</v>
      </c>
      <c r="F45" s="27">
        <v>9197.2800000000007</v>
      </c>
      <c r="G45" s="27">
        <v>9531.9500000000007</v>
      </c>
      <c r="H45" s="27">
        <v>10583.75</v>
      </c>
      <c r="I45" s="27">
        <v>8878.5499999999993</v>
      </c>
      <c r="J45" s="27">
        <v>9943.2800000000007</v>
      </c>
      <c r="K45" s="27">
        <v>10669.59</v>
      </c>
      <c r="L45" s="27">
        <v>10470.9</v>
      </c>
    </row>
    <row r="46" spans="1:14" x14ac:dyDescent="0.3">
      <c r="A46" s="103" t="s">
        <v>342</v>
      </c>
      <c r="B46" s="28" t="s">
        <v>343</v>
      </c>
      <c r="C46" s="27">
        <v>0</v>
      </c>
      <c r="D46" s="27"/>
      <c r="E46" s="27">
        <v>0</v>
      </c>
      <c r="F46" s="27">
        <v>37.01</v>
      </c>
      <c r="G46" s="27">
        <v>64.2</v>
      </c>
      <c r="H46" s="27">
        <v>46.56</v>
      </c>
      <c r="I46" s="27">
        <v>50.09</v>
      </c>
      <c r="J46" s="27">
        <v>44.7</v>
      </c>
      <c r="K46" s="27">
        <v>51.22</v>
      </c>
      <c r="L46" s="27">
        <v>45.1</v>
      </c>
    </row>
    <row r="47" spans="1:14" s="37" customFormat="1" x14ac:dyDescent="0.3">
      <c r="A47" s="103" t="s">
        <v>346</v>
      </c>
      <c r="B47" s="28" t="s">
        <v>344</v>
      </c>
      <c r="C47" s="27">
        <v>136.43</v>
      </c>
      <c r="D47" s="27">
        <v>180.35</v>
      </c>
      <c r="E47" s="27">
        <v>203.25</v>
      </c>
      <c r="F47" s="27">
        <v>192.07</v>
      </c>
      <c r="G47" s="27">
        <v>201.81</v>
      </c>
      <c r="H47" s="27">
        <v>180.76</v>
      </c>
      <c r="I47" s="27">
        <v>204.11</v>
      </c>
      <c r="J47" s="27">
        <v>197.54</v>
      </c>
      <c r="K47" s="27">
        <v>228.84</v>
      </c>
      <c r="L47" s="27">
        <v>240.67</v>
      </c>
      <c r="M47" s="3"/>
      <c r="N47" s="3"/>
    </row>
    <row r="48" spans="1:14" s="37" customFormat="1" x14ac:dyDescent="0.3">
      <c r="A48" s="103" t="s">
        <v>347</v>
      </c>
      <c r="B48" s="28" t="s">
        <v>465</v>
      </c>
      <c r="C48" s="27">
        <v>0</v>
      </c>
      <c r="D48" s="27"/>
      <c r="E48" s="27">
        <v>0</v>
      </c>
      <c r="F48" s="27"/>
      <c r="G48" s="27"/>
      <c r="H48" s="27"/>
      <c r="I48" s="27">
        <v>1153.02</v>
      </c>
      <c r="J48" s="27">
        <v>1153.02</v>
      </c>
      <c r="K48" s="27">
        <v>1153.02</v>
      </c>
      <c r="L48" s="27">
        <v>1153.02</v>
      </c>
      <c r="M48" s="3"/>
      <c r="N48" s="3"/>
    </row>
    <row r="49" spans="1:14" s="37" customFormat="1" x14ac:dyDescent="0.3">
      <c r="A49" s="103" t="s">
        <v>348</v>
      </c>
      <c r="B49" s="28" t="s">
        <v>349</v>
      </c>
      <c r="C49" s="27">
        <v>3034.88</v>
      </c>
      <c r="D49" s="27">
        <v>1959.36</v>
      </c>
      <c r="E49" s="27">
        <f>E51+E52+E53</f>
        <v>3545.38</v>
      </c>
      <c r="F49" s="27">
        <f>F51+F52+F53</f>
        <v>2932.9300000000003</v>
      </c>
      <c r="G49" s="27">
        <f>G51+G52+G53</f>
        <v>3545.43</v>
      </c>
      <c r="H49" s="27">
        <f>H51+H52+H53</f>
        <v>2844</v>
      </c>
      <c r="I49" s="27">
        <v>2932.96</v>
      </c>
      <c r="J49" s="27">
        <f>J51+J52+J53</f>
        <v>2716.18</v>
      </c>
      <c r="K49" s="27">
        <v>2840.18</v>
      </c>
      <c r="L49" s="27">
        <f>L51+L52+L53</f>
        <v>2604.29</v>
      </c>
      <c r="M49" s="3"/>
      <c r="N49" s="3"/>
    </row>
    <row r="50" spans="1:14" s="37" customFormat="1" x14ac:dyDescent="0.3">
      <c r="A50" s="103" t="s">
        <v>352</v>
      </c>
      <c r="B50" s="28" t="s">
        <v>350</v>
      </c>
      <c r="C50" s="27">
        <v>0</v>
      </c>
      <c r="D50" s="27"/>
      <c r="E50" s="27">
        <v>0</v>
      </c>
      <c r="F50" s="27"/>
      <c r="G50" s="27"/>
      <c r="H50" s="27"/>
      <c r="I50" s="27"/>
      <c r="J50" s="27"/>
      <c r="K50" s="27"/>
      <c r="L50" s="27"/>
      <c r="M50" s="3"/>
      <c r="N50" s="3"/>
    </row>
    <row r="51" spans="1:14" s="37" customFormat="1" x14ac:dyDescent="0.3">
      <c r="A51" s="103" t="s">
        <v>353</v>
      </c>
      <c r="B51" s="28" t="s">
        <v>247</v>
      </c>
      <c r="C51" s="27">
        <v>39.71</v>
      </c>
      <c r="D51" s="27">
        <v>44.93</v>
      </c>
      <c r="E51" s="27">
        <v>45.55</v>
      </c>
      <c r="F51" s="27">
        <v>46.9</v>
      </c>
      <c r="G51" s="27">
        <v>45.6</v>
      </c>
      <c r="H51" s="27">
        <v>52.57</v>
      </c>
      <c r="I51" s="27">
        <v>46.93</v>
      </c>
      <c r="J51" s="27">
        <v>52.91</v>
      </c>
      <c r="K51" s="96">
        <v>48.8</v>
      </c>
      <c r="L51" s="27">
        <v>47.34</v>
      </c>
      <c r="M51" s="3"/>
      <c r="N51" s="3"/>
    </row>
    <row r="52" spans="1:14" x14ac:dyDescent="0.3">
      <c r="A52" s="103" t="s">
        <v>354</v>
      </c>
      <c r="B52" s="28" t="s">
        <v>351</v>
      </c>
      <c r="C52" s="27">
        <v>0</v>
      </c>
      <c r="D52" s="27">
        <v>33.1</v>
      </c>
      <c r="E52" s="27">
        <v>19.100000000000001</v>
      </c>
      <c r="F52" s="27">
        <v>18.63</v>
      </c>
      <c r="G52" s="27">
        <v>19.100000000000001</v>
      </c>
      <c r="H52" s="27">
        <v>19.43</v>
      </c>
      <c r="I52" s="27">
        <v>18.63</v>
      </c>
      <c r="J52" s="27">
        <v>9.3000000000000007</v>
      </c>
      <c r="K52" s="27">
        <v>19.38</v>
      </c>
      <c r="L52" s="27">
        <v>5.95</v>
      </c>
    </row>
    <row r="53" spans="1:14" x14ac:dyDescent="0.3">
      <c r="A53" s="103" t="s">
        <v>355</v>
      </c>
      <c r="B53" s="28" t="s">
        <v>248</v>
      </c>
      <c r="C53" s="27">
        <v>2995.17</v>
      </c>
      <c r="D53" s="27">
        <v>1881.33</v>
      </c>
      <c r="E53" s="27">
        <v>3480.73</v>
      </c>
      <c r="F53" s="27">
        <v>2867.4</v>
      </c>
      <c r="G53" s="27">
        <v>3480.73</v>
      </c>
      <c r="H53" s="27">
        <v>2772</v>
      </c>
      <c r="I53" s="27">
        <v>2867.4</v>
      </c>
      <c r="J53" s="27">
        <v>2653.97</v>
      </c>
      <c r="K53" s="27">
        <v>2772</v>
      </c>
      <c r="L53" s="27">
        <v>2551</v>
      </c>
    </row>
    <row r="54" spans="1:14" ht="28.8" x14ac:dyDescent="0.3">
      <c r="A54" s="103" t="s">
        <v>356</v>
      </c>
      <c r="B54" s="28" t="s">
        <v>357</v>
      </c>
      <c r="C54" s="27">
        <v>8538.84</v>
      </c>
      <c r="D54" s="27">
        <v>7794</v>
      </c>
      <c r="E54" s="27">
        <v>9199.56</v>
      </c>
      <c r="F54" s="27">
        <v>9289.61</v>
      </c>
      <c r="G54" s="27">
        <v>9535.6200000000008</v>
      </c>
      <c r="H54" s="27">
        <v>9444.5499999999993</v>
      </c>
      <c r="I54" s="27">
        <v>13170.73</v>
      </c>
      <c r="J54" s="27">
        <v>11925.51</v>
      </c>
      <c r="K54" s="27">
        <v>13798.57</v>
      </c>
      <c r="L54" s="27">
        <v>13445.43</v>
      </c>
    </row>
    <row r="55" spans="1:14" ht="28.8" x14ac:dyDescent="0.3">
      <c r="A55" s="103" t="s">
        <v>358</v>
      </c>
      <c r="B55" s="28" t="s">
        <v>166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</row>
    <row r="56" spans="1:14" x14ac:dyDescent="0.3">
      <c r="A56" s="103" t="s">
        <v>365</v>
      </c>
      <c r="B56" s="28" t="s">
        <v>359</v>
      </c>
      <c r="C56" s="27">
        <v>35.6</v>
      </c>
      <c r="D56" s="27"/>
      <c r="E56" s="27">
        <v>1540.51</v>
      </c>
      <c r="F56" s="27"/>
      <c r="G56" s="27">
        <v>1705.66</v>
      </c>
      <c r="H56" s="27"/>
      <c r="I56" s="27">
        <v>106.41</v>
      </c>
      <c r="J56" s="27"/>
      <c r="K56" s="27">
        <v>111.48</v>
      </c>
      <c r="L56" s="27"/>
    </row>
    <row r="57" spans="1:14" ht="28.8" x14ac:dyDescent="0.3">
      <c r="A57" s="103" t="s">
        <v>366</v>
      </c>
      <c r="B57" s="28" t="s">
        <v>377</v>
      </c>
      <c r="C57" s="27">
        <v>1755.42</v>
      </c>
      <c r="D57" s="27"/>
      <c r="E57" s="27">
        <v>1849.82</v>
      </c>
      <c r="F57" s="27"/>
      <c r="G57" s="27"/>
      <c r="H57" s="27"/>
      <c r="I57" s="27"/>
      <c r="J57" s="27"/>
      <c r="K57" s="27"/>
      <c r="L57" s="27"/>
    </row>
    <row r="58" spans="1:14" x14ac:dyDescent="0.3">
      <c r="A58" s="103" t="s">
        <v>367</v>
      </c>
      <c r="B58" s="28" t="s">
        <v>360</v>
      </c>
      <c r="C58" s="27">
        <v>10947.46</v>
      </c>
      <c r="D58" s="27">
        <v>4680</v>
      </c>
      <c r="E58" s="27">
        <v>10947.46</v>
      </c>
      <c r="F58" s="27">
        <v>5891.47</v>
      </c>
      <c r="G58" s="27">
        <v>10947.46</v>
      </c>
      <c r="H58" s="27">
        <v>787.46</v>
      </c>
      <c r="I58" s="27">
        <v>5891.47</v>
      </c>
      <c r="J58" s="27">
        <v>5884.69</v>
      </c>
      <c r="K58" s="27">
        <v>5891.47</v>
      </c>
      <c r="L58" s="27">
        <v>5973</v>
      </c>
    </row>
    <row r="59" spans="1:14" ht="28.8" x14ac:dyDescent="0.3">
      <c r="A59" s="103" t="s">
        <v>368</v>
      </c>
      <c r="B59" s="28" t="s">
        <v>361</v>
      </c>
      <c r="C59" s="27">
        <v>0</v>
      </c>
      <c r="D59" s="27"/>
      <c r="E59" s="27">
        <v>0</v>
      </c>
      <c r="F59" s="27"/>
      <c r="G59" s="27"/>
      <c r="H59" s="27"/>
      <c r="I59" s="27"/>
      <c r="J59" s="27"/>
      <c r="K59" s="27"/>
      <c r="L59" s="27"/>
    </row>
    <row r="60" spans="1:14" ht="28.8" x14ac:dyDescent="0.3">
      <c r="A60" s="103" t="s">
        <v>369</v>
      </c>
      <c r="B60" s="28" t="s">
        <v>362</v>
      </c>
      <c r="C60" s="27">
        <v>10947.46</v>
      </c>
      <c r="D60" s="27">
        <v>4680</v>
      </c>
      <c r="E60" s="27">
        <v>10947.46</v>
      </c>
      <c r="F60" s="27">
        <v>5891.47</v>
      </c>
      <c r="G60" s="27">
        <v>10947.46</v>
      </c>
      <c r="H60" s="27">
        <v>787.46</v>
      </c>
      <c r="I60" s="27">
        <v>5891.47</v>
      </c>
      <c r="J60" s="27">
        <v>5884.69</v>
      </c>
      <c r="K60" s="27">
        <v>5891.47</v>
      </c>
      <c r="L60" s="27">
        <v>5973</v>
      </c>
    </row>
    <row r="61" spans="1:14" x14ac:dyDescent="0.3">
      <c r="A61" s="103" t="s">
        <v>370</v>
      </c>
      <c r="B61" s="28" t="s">
        <v>363</v>
      </c>
      <c r="C61" s="27">
        <v>0</v>
      </c>
      <c r="D61" s="27"/>
      <c r="E61" s="27">
        <v>0</v>
      </c>
      <c r="F61" s="27"/>
      <c r="G61" s="27"/>
      <c r="H61" s="27"/>
      <c r="I61" s="27"/>
      <c r="J61" s="27"/>
      <c r="K61" s="27"/>
      <c r="L61" s="27"/>
    </row>
    <row r="62" spans="1:14" x14ac:dyDescent="0.3">
      <c r="A62" s="103" t="s">
        <v>371</v>
      </c>
      <c r="B62" s="28" t="s">
        <v>364</v>
      </c>
      <c r="C62" s="27">
        <v>0</v>
      </c>
      <c r="D62" s="27"/>
      <c r="E62" s="27">
        <v>6008.8</v>
      </c>
      <c r="F62" s="27"/>
      <c r="G62" s="27">
        <v>6663.8</v>
      </c>
      <c r="H62" s="27"/>
      <c r="I62" s="27"/>
      <c r="J62" s="27"/>
      <c r="K62" s="27"/>
      <c r="L62" s="27">
        <v>11486.51</v>
      </c>
    </row>
    <row r="63" spans="1:14" ht="27" x14ac:dyDescent="0.3">
      <c r="A63" s="103"/>
      <c r="B63" s="34" t="s">
        <v>168</v>
      </c>
      <c r="C63" s="40">
        <f t="shared" ref="C63:L63" si="1">C45+C46+C47+C48+C49+C54+C56+C57+C58+C61+C62</f>
        <v>29977.35</v>
      </c>
      <c r="D63" s="40">
        <f t="shared" si="1"/>
        <v>23687.760000000002</v>
      </c>
      <c r="E63" s="40">
        <f t="shared" si="1"/>
        <v>42852.649999999994</v>
      </c>
      <c r="F63" s="40">
        <f t="shared" si="1"/>
        <v>27540.370000000003</v>
      </c>
      <c r="G63" s="40">
        <f t="shared" si="1"/>
        <v>42195.930000000008</v>
      </c>
      <c r="H63" s="40">
        <f t="shared" si="1"/>
        <v>23887.079999999998</v>
      </c>
      <c r="I63" s="40">
        <f t="shared" si="1"/>
        <v>32387.34</v>
      </c>
      <c r="J63" s="40">
        <f t="shared" si="1"/>
        <v>31864.920000000002</v>
      </c>
      <c r="K63" s="100">
        <f t="shared" si="1"/>
        <v>34744.369999999995</v>
      </c>
      <c r="L63" s="100">
        <f t="shared" si="1"/>
        <v>45418.920000000006</v>
      </c>
      <c r="M63" s="37"/>
      <c r="N63" s="37"/>
    </row>
    <row r="64" spans="1:14" x14ac:dyDescent="0.3">
      <c r="A64" s="104"/>
      <c r="B64" s="98"/>
      <c r="C64" s="98"/>
      <c r="D64" s="98"/>
      <c r="E64" s="67"/>
      <c r="I64" s="37"/>
      <c r="J64" s="37"/>
      <c r="K64" s="37"/>
      <c r="L64" s="37"/>
      <c r="M64" s="37"/>
      <c r="N64" s="37"/>
    </row>
    <row r="65" spans="1:14" x14ac:dyDescent="0.3">
      <c r="A65" s="254" t="s">
        <v>372</v>
      </c>
      <c r="B65" s="255"/>
      <c r="C65" s="255"/>
      <c r="D65" s="255"/>
      <c r="E65" s="255"/>
    </row>
    <row r="66" spans="1:14" ht="43.2" x14ac:dyDescent="0.3">
      <c r="A66" s="103" t="s">
        <v>373</v>
      </c>
      <c r="B66" s="28" t="s">
        <v>372</v>
      </c>
      <c r="C66" s="27">
        <v>696.75</v>
      </c>
      <c r="D66" s="27"/>
      <c r="E66" s="27"/>
      <c r="F66" s="27">
        <v>10676.78</v>
      </c>
      <c r="G66" s="27">
        <v>-4436.53</v>
      </c>
      <c r="H66" s="27"/>
      <c r="I66" s="27">
        <v>-12121.79</v>
      </c>
      <c r="J66" s="27"/>
      <c r="K66" s="27">
        <v>-6347.52</v>
      </c>
      <c r="L66" s="27"/>
    </row>
    <row r="67" spans="1:14" ht="43.2" x14ac:dyDescent="0.3">
      <c r="A67" s="103" t="s">
        <v>374</v>
      </c>
      <c r="B67" s="28" t="s">
        <v>412</v>
      </c>
      <c r="C67" s="27"/>
      <c r="D67" s="27"/>
      <c r="E67" s="27"/>
      <c r="F67" s="27"/>
      <c r="G67" s="27">
        <v>-1941.98</v>
      </c>
      <c r="H67" s="27"/>
      <c r="I67" s="27"/>
      <c r="J67" s="27"/>
      <c r="K67" s="27"/>
      <c r="L67" s="27"/>
    </row>
    <row r="68" spans="1:14" ht="31.2" x14ac:dyDescent="0.3">
      <c r="A68" s="103" t="s">
        <v>397</v>
      </c>
      <c r="B68" s="112" t="s">
        <v>375</v>
      </c>
      <c r="C68" s="100">
        <f>C40+C63+C66</f>
        <v>64732.640000000007</v>
      </c>
      <c r="D68" s="100">
        <f>D40+D63+D66</f>
        <v>58630.1</v>
      </c>
      <c r="E68" s="100">
        <f>E40+E63+E66</f>
        <v>79546.53</v>
      </c>
      <c r="F68" s="100">
        <f>F40+F63+F66</f>
        <v>80924.170000000013</v>
      </c>
      <c r="G68" s="100">
        <f t="shared" ref="G68:L68" si="2">G63+G40+G66+G67</f>
        <v>73851.730000000025</v>
      </c>
      <c r="H68" s="100">
        <f t="shared" si="2"/>
        <v>62772.479999999996</v>
      </c>
      <c r="I68" s="100">
        <f t="shared" si="2"/>
        <v>74665.670000000013</v>
      </c>
      <c r="J68" s="100">
        <f t="shared" si="2"/>
        <v>80867.899999999994</v>
      </c>
      <c r="K68" s="100">
        <f t="shared" si="2"/>
        <v>85390.2</v>
      </c>
      <c r="L68" s="100">
        <f t="shared" si="2"/>
        <v>105915.08</v>
      </c>
    </row>
    <row r="70" spans="1:14" ht="12" customHeight="1" x14ac:dyDescent="0.3"/>
    <row r="71" spans="1:14" ht="15" customHeight="1" x14ac:dyDescent="0.3">
      <c r="A71" s="44" t="s">
        <v>0</v>
      </c>
      <c r="B71" s="135"/>
      <c r="D71" s="44"/>
      <c r="I71" s="44" t="s">
        <v>227</v>
      </c>
    </row>
    <row r="75" spans="1:14" s="37" customFormat="1" x14ac:dyDescent="0.3">
      <c r="A75" s="3"/>
      <c r="B75" s="3"/>
      <c r="C75" s="3"/>
      <c r="D75" s="3"/>
      <c r="E75" s="3"/>
      <c r="I75" s="3"/>
      <c r="J75" s="3"/>
      <c r="K75" s="3"/>
      <c r="L75" s="3"/>
      <c r="M75" s="3"/>
      <c r="N75" s="3"/>
    </row>
    <row r="76" spans="1:14" s="37" customFormat="1" ht="27.45" customHeight="1" x14ac:dyDescent="0.3">
      <c r="A76" s="3"/>
      <c r="B76" s="3"/>
      <c r="C76" s="3"/>
      <c r="D76" s="3"/>
      <c r="E76" s="3"/>
      <c r="I76" s="3"/>
      <c r="J76" s="3"/>
      <c r="K76" s="3"/>
      <c r="L76" s="3"/>
      <c r="M76" s="3"/>
      <c r="N76" s="3"/>
    </row>
  </sheetData>
  <mergeCells count="3">
    <mergeCell ref="A65:E65"/>
    <mergeCell ref="A1:J1"/>
    <mergeCell ref="A2:D2"/>
  </mergeCells>
  <pageMargins left="0.51181102362204722" right="0" top="0.35433070866141736" bottom="0.35433070866141736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8"/>
  <sheetViews>
    <sheetView workbookViewId="0">
      <selection sqref="A1:C24"/>
    </sheetView>
  </sheetViews>
  <sheetFormatPr defaultRowHeight="14.4" x14ac:dyDescent="0.3"/>
  <cols>
    <col min="1" max="1" width="47.33203125" customWidth="1"/>
    <col min="2" max="2" width="13.6640625" customWidth="1"/>
    <col min="8" max="8" width="10.109375" customWidth="1"/>
    <col min="10" max="10" width="12.77734375" customWidth="1"/>
  </cols>
  <sheetData>
    <row r="1" spans="1:10" ht="18" x14ac:dyDescent="0.35">
      <c r="A1" s="257" t="s">
        <v>268</v>
      </c>
      <c r="B1" s="257"/>
      <c r="C1" s="257"/>
      <c r="D1" s="101"/>
      <c r="E1" s="101"/>
      <c r="F1" s="101"/>
      <c r="G1" s="101"/>
      <c r="H1" s="101"/>
      <c r="I1" s="101"/>
      <c r="J1" s="101"/>
    </row>
    <row r="2" spans="1:10" x14ac:dyDescent="0.3">
      <c r="A2" s="233" t="s">
        <v>269</v>
      </c>
      <c r="B2" s="233"/>
      <c r="C2" s="233"/>
      <c r="D2" s="95"/>
      <c r="E2" s="95"/>
      <c r="F2" s="95"/>
      <c r="G2" s="95"/>
      <c r="H2" s="95"/>
      <c r="I2" s="95"/>
      <c r="J2" s="95"/>
    </row>
    <row r="3" spans="1:10" x14ac:dyDescent="0.3">
      <c r="A3" s="233" t="s">
        <v>514</v>
      </c>
      <c r="B3" s="233"/>
      <c r="C3" s="233"/>
    </row>
    <row r="5" spans="1:10" x14ac:dyDescent="0.3">
      <c r="C5" t="s">
        <v>105</v>
      </c>
    </row>
    <row r="7" spans="1:10" x14ac:dyDescent="0.3">
      <c r="A7" s="2" t="s">
        <v>507</v>
      </c>
      <c r="B7" s="42">
        <v>114949383.65000001</v>
      </c>
      <c r="C7" s="2" t="s">
        <v>104</v>
      </c>
    </row>
    <row r="8" spans="1:10" x14ac:dyDescent="0.3">
      <c r="A8" s="2" t="s">
        <v>270</v>
      </c>
      <c r="B8" s="42"/>
      <c r="C8" s="2"/>
    </row>
    <row r="9" spans="1:10" x14ac:dyDescent="0.3">
      <c r="A9" s="2" t="s">
        <v>199</v>
      </c>
      <c r="B9" s="42">
        <f>112288468.53-7558.04</f>
        <v>112280910.48999999</v>
      </c>
      <c r="C9" s="42">
        <f>B9/B7%</f>
        <v>97.678566795864668</v>
      </c>
    </row>
    <row r="10" spans="1:10" x14ac:dyDescent="0.3">
      <c r="A10" s="2" t="s">
        <v>271</v>
      </c>
      <c r="B10" s="96">
        <v>572860.19999999995</v>
      </c>
      <c r="C10" s="42">
        <f>B10/B7%</f>
        <v>0.49835865300874971</v>
      </c>
      <c r="D10" s="258">
        <f>(C10+C11)</f>
        <v>2.3214332041353329</v>
      </c>
    </row>
    <row r="11" spans="1:10" x14ac:dyDescent="0.3">
      <c r="A11" s="2" t="s">
        <v>272</v>
      </c>
      <c r="B11" s="96">
        <f>B7-B9-B10</f>
        <v>2095612.9600000114</v>
      </c>
      <c r="C11" s="42">
        <f>B11/B7%</f>
        <v>1.8230745511265831</v>
      </c>
      <c r="D11" s="259"/>
    </row>
    <row r="14" spans="1:10" x14ac:dyDescent="0.3">
      <c r="B14" s="3"/>
    </row>
    <row r="18" spans="1:1" x14ac:dyDescent="0.3">
      <c r="A18" t="s">
        <v>273</v>
      </c>
    </row>
  </sheetData>
  <mergeCells count="4">
    <mergeCell ref="A1:C1"/>
    <mergeCell ref="A2:C2"/>
    <mergeCell ref="A3:C3"/>
    <mergeCell ref="D10:D1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F41"/>
  <sheetViews>
    <sheetView topLeftCell="A22" workbookViewId="0">
      <selection activeCell="B41" sqref="B41:E41"/>
    </sheetView>
  </sheetViews>
  <sheetFormatPr defaultRowHeight="14.4" x14ac:dyDescent="0.3"/>
  <cols>
    <col min="1" max="1" width="3.6640625" customWidth="1"/>
    <col min="2" max="2" width="6.21875" customWidth="1"/>
    <col min="3" max="3" width="8.21875" customWidth="1"/>
    <col min="4" max="4" width="27.5546875" customWidth="1"/>
    <col min="5" max="5" width="27" customWidth="1"/>
    <col min="6" max="6" width="11.44140625" customWidth="1"/>
  </cols>
  <sheetData>
    <row r="1" spans="1:6" ht="18" x14ac:dyDescent="0.35">
      <c r="A1" s="257" t="s">
        <v>615</v>
      </c>
      <c r="B1" s="257"/>
      <c r="C1" s="257"/>
      <c r="D1" s="257"/>
      <c r="E1" s="257"/>
      <c r="F1" s="257"/>
    </row>
    <row r="2" spans="1:6" ht="18" x14ac:dyDescent="0.35">
      <c r="A2" s="257" t="s">
        <v>404</v>
      </c>
      <c r="B2" s="257"/>
      <c r="C2" s="257"/>
      <c r="D2" s="257"/>
      <c r="E2" s="257"/>
      <c r="F2" s="257"/>
    </row>
    <row r="4" spans="1:6" x14ac:dyDescent="0.3">
      <c r="A4" s="2"/>
      <c r="B4" s="2" t="s">
        <v>405</v>
      </c>
      <c r="C4" s="2" t="s">
        <v>406</v>
      </c>
      <c r="D4" s="2" t="s">
        <v>409</v>
      </c>
      <c r="E4" s="2" t="s">
        <v>408</v>
      </c>
      <c r="F4" s="2" t="s">
        <v>230</v>
      </c>
    </row>
    <row r="5" spans="1:6" x14ac:dyDescent="0.3">
      <c r="A5" s="2"/>
      <c r="B5" s="38" t="s">
        <v>407</v>
      </c>
      <c r="C5" s="2"/>
      <c r="D5" s="2"/>
      <c r="E5" s="2"/>
      <c r="F5" s="2"/>
    </row>
    <row r="6" spans="1:6" x14ac:dyDescent="0.3">
      <c r="A6" s="2">
        <v>1</v>
      </c>
      <c r="B6" s="2">
        <v>370</v>
      </c>
      <c r="C6" s="2" t="s">
        <v>554</v>
      </c>
      <c r="D6" s="2" t="s">
        <v>612</v>
      </c>
      <c r="E6" s="2" t="s">
        <v>558</v>
      </c>
      <c r="F6" s="42">
        <v>26250</v>
      </c>
    </row>
    <row r="7" spans="1:6" x14ac:dyDescent="0.3">
      <c r="A7" s="2">
        <v>2</v>
      </c>
      <c r="B7" s="2">
        <v>1999</v>
      </c>
      <c r="C7" s="2" t="s">
        <v>555</v>
      </c>
      <c r="D7" s="2" t="s">
        <v>556</v>
      </c>
      <c r="E7" s="2" t="s">
        <v>557</v>
      </c>
      <c r="F7" s="42">
        <v>57811.81</v>
      </c>
    </row>
    <row r="8" spans="1:6" x14ac:dyDescent="0.3">
      <c r="A8" s="2">
        <v>3</v>
      </c>
      <c r="B8" s="2">
        <v>8087</v>
      </c>
      <c r="C8" s="2" t="s">
        <v>559</v>
      </c>
      <c r="D8" s="2" t="s">
        <v>556</v>
      </c>
      <c r="E8" s="2" t="s">
        <v>557</v>
      </c>
      <c r="F8" s="42">
        <v>80524.13</v>
      </c>
    </row>
    <row r="9" spans="1:6" ht="13.2" customHeight="1" x14ac:dyDescent="0.3">
      <c r="A9" s="2">
        <v>4</v>
      </c>
      <c r="B9" s="2">
        <v>8088</v>
      </c>
      <c r="C9" s="2" t="s">
        <v>559</v>
      </c>
      <c r="D9" s="2" t="s">
        <v>556</v>
      </c>
      <c r="E9" s="2" t="s">
        <v>557</v>
      </c>
      <c r="F9" s="42">
        <v>71384.639999999999</v>
      </c>
    </row>
    <row r="10" spans="1:6" ht="13.2" customHeight="1" x14ac:dyDescent="0.3">
      <c r="A10" s="2">
        <v>5</v>
      </c>
      <c r="B10" s="2">
        <v>996</v>
      </c>
      <c r="C10" s="2" t="s">
        <v>560</v>
      </c>
      <c r="D10" s="2" t="s">
        <v>561</v>
      </c>
      <c r="E10" s="2" t="s">
        <v>562</v>
      </c>
      <c r="F10" s="42">
        <v>232725</v>
      </c>
    </row>
    <row r="11" spans="1:6" ht="13.2" customHeight="1" x14ac:dyDescent="0.3">
      <c r="A11" s="2">
        <v>6</v>
      </c>
      <c r="B11" s="2">
        <v>9308</v>
      </c>
      <c r="C11" s="2" t="s">
        <v>560</v>
      </c>
      <c r="D11" s="2" t="s">
        <v>556</v>
      </c>
      <c r="E11" s="2" t="s">
        <v>557</v>
      </c>
      <c r="F11" s="42">
        <v>74245.33</v>
      </c>
    </row>
    <row r="12" spans="1:6" ht="13.2" customHeight="1" x14ac:dyDescent="0.3">
      <c r="A12" s="2">
        <v>7</v>
      </c>
      <c r="B12" s="2">
        <v>9311</v>
      </c>
      <c r="C12" s="2" t="s">
        <v>560</v>
      </c>
      <c r="D12" s="2" t="s">
        <v>556</v>
      </c>
      <c r="E12" s="2" t="s">
        <v>557</v>
      </c>
      <c r="F12" s="42">
        <v>49764.91</v>
      </c>
    </row>
    <row r="13" spans="1:6" ht="13.2" customHeight="1" x14ac:dyDescent="0.3">
      <c r="A13" s="2">
        <v>8</v>
      </c>
      <c r="B13" s="2">
        <v>13586</v>
      </c>
      <c r="C13" s="2" t="s">
        <v>563</v>
      </c>
      <c r="D13" s="2" t="s">
        <v>556</v>
      </c>
      <c r="E13" s="2" t="s">
        <v>557</v>
      </c>
      <c r="F13" s="42">
        <v>72330.070000000007</v>
      </c>
    </row>
    <row r="14" spans="1:6" ht="13.2" customHeight="1" x14ac:dyDescent="0.3">
      <c r="A14" s="2">
        <v>9</v>
      </c>
      <c r="B14" s="2">
        <v>13583</v>
      </c>
      <c r="C14" s="2" t="s">
        <v>563</v>
      </c>
      <c r="D14" s="2" t="s">
        <v>556</v>
      </c>
      <c r="E14" s="2" t="s">
        <v>557</v>
      </c>
      <c r="F14" s="42">
        <v>50352.75</v>
      </c>
    </row>
    <row r="15" spans="1:6" ht="13.2" customHeight="1" x14ac:dyDescent="0.3">
      <c r="A15" s="2">
        <v>10</v>
      </c>
      <c r="B15" s="2">
        <v>16304</v>
      </c>
      <c r="C15" s="2" t="s">
        <v>564</v>
      </c>
      <c r="D15" s="2" t="s">
        <v>556</v>
      </c>
      <c r="E15" s="2" t="s">
        <v>557</v>
      </c>
      <c r="F15" s="42">
        <v>51924.73</v>
      </c>
    </row>
    <row r="16" spans="1:6" ht="13.2" customHeight="1" x14ac:dyDescent="0.3">
      <c r="A16" s="2">
        <v>11</v>
      </c>
      <c r="B16" s="2">
        <v>77</v>
      </c>
      <c r="C16" s="2" t="s">
        <v>565</v>
      </c>
      <c r="D16" s="2" t="s">
        <v>566</v>
      </c>
      <c r="E16" s="2" t="s">
        <v>567</v>
      </c>
      <c r="F16" s="42">
        <v>292307.20000000001</v>
      </c>
    </row>
    <row r="17" spans="1:6" ht="13.2" customHeight="1" x14ac:dyDescent="0.3">
      <c r="A17" s="2">
        <v>12</v>
      </c>
      <c r="B17" s="2">
        <v>17305</v>
      </c>
      <c r="C17" s="2" t="s">
        <v>568</v>
      </c>
      <c r="D17" s="2" t="s">
        <v>556</v>
      </c>
      <c r="E17" s="2" t="s">
        <v>557</v>
      </c>
      <c r="F17" s="42">
        <v>119482.44</v>
      </c>
    </row>
    <row r="18" spans="1:6" ht="13.2" customHeight="1" x14ac:dyDescent="0.3">
      <c r="A18" s="2">
        <v>13</v>
      </c>
      <c r="B18" s="2">
        <v>88</v>
      </c>
      <c r="C18" s="2" t="s">
        <v>569</v>
      </c>
      <c r="D18" s="2" t="s">
        <v>570</v>
      </c>
      <c r="E18" s="2" t="s">
        <v>557</v>
      </c>
      <c r="F18" s="42">
        <v>325000</v>
      </c>
    </row>
    <row r="19" spans="1:6" ht="13.2" customHeight="1" x14ac:dyDescent="0.3">
      <c r="A19" s="2">
        <v>14</v>
      </c>
      <c r="B19" s="2">
        <v>17306</v>
      </c>
      <c r="C19" s="2" t="s">
        <v>568</v>
      </c>
      <c r="D19" s="2" t="s">
        <v>556</v>
      </c>
      <c r="E19" s="2" t="s">
        <v>557</v>
      </c>
      <c r="F19" s="42">
        <v>178302.34</v>
      </c>
    </row>
    <row r="20" spans="1:6" ht="13.2" customHeight="1" x14ac:dyDescent="0.3">
      <c r="A20" s="2">
        <v>15</v>
      </c>
      <c r="B20" s="2">
        <v>83</v>
      </c>
      <c r="C20" s="2" t="s">
        <v>571</v>
      </c>
      <c r="D20" s="2" t="s">
        <v>572</v>
      </c>
      <c r="E20" s="2" t="s">
        <v>573</v>
      </c>
      <c r="F20" s="42">
        <v>100032.17</v>
      </c>
    </row>
    <row r="21" spans="1:6" ht="13.2" customHeight="1" x14ac:dyDescent="0.3">
      <c r="A21" s="2">
        <v>16</v>
      </c>
      <c r="B21" s="2">
        <v>18263</v>
      </c>
      <c r="C21" s="2" t="s">
        <v>574</v>
      </c>
      <c r="D21" s="2" t="s">
        <v>556</v>
      </c>
      <c r="E21" s="2" t="s">
        <v>557</v>
      </c>
      <c r="F21" s="42">
        <v>76503.25</v>
      </c>
    </row>
    <row r="22" spans="1:6" ht="13.2" customHeight="1" x14ac:dyDescent="0.3">
      <c r="A22" s="2">
        <v>17</v>
      </c>
      <c r="B22" s="2">
        <v>22558</v>
      </c>
      <c r="C22" s="2" t="s">
        <v>575</v>
      </c>
      <c r="D22" s="2" t="s">
        <v>556</v>
      </c>
      <c r="E22" s="2" t="s">
        <v>557</v>
      </c>
      <c r="F22" s="42">
        <v>159572.70000000001</v>
      </c>
    </row>
    <row r="23" spans="1:6" ht="13.2" customHeight="1" x14ac:dyDescent="0.3">
      <c r="A23" s="2">
        <v>18</v>
      </c>
      <c r="B23" s="2">
        <v>24911</v>
      </c>
      <c r="C23" s="2" t="s">
        <v>576</v>
      </c>
      <c r="D23" s="2" t="s">
        <v>556</v>
      </c>
      <c r="E23" s="2" t="s">
        <v>557</v>
      </c>
      <c r="F23" s="42">
        <v>110716.65</v>
      </c>
    </row>
    <row r="24" spans="1:6" ht="13.2" customHeight="1" x14ac:dyDescent="0.3">
      <c r="A24" s="2">
        <v>19</v>
      </c>
      <c r="B24" s="2">
        <v>25867</v>
      </c>
      <c r="C24" s="2" t="s">
        <v>577</v>
      </c>
      <c r="D24" s="2" t="s">
        <v>556</v>
      </c>
      <c r="E24" s="2" t="s">
        <v>557</v>
      </c>
      <c r="F24" s="42">
        <v>123090.4</v>
      </c>
    </row>
    <row r="25" spans="1:6" ht="13.2" customHeight="1" x14ac:dyDescent="0.3">
      <c r="A25" s="2">
        <v>20</v>
      </c>
      <c r="B25" s="2">
        <v>291</v>
      </c>
      <c r="C25" s="2" t="s">
        <v>578</v>
      </c>
      <c r="D25" s="2" t="s">
        <v>572</v>
      </c>
      <c r="E25" s="2" t="s">
        <v>579</v>
      </c>
      <c r="F25" s="42">
        <v>56666.67</v>
      </c>
    </row>
    <row r="26" spans="1:6" x14ac:dyDescent="0.3">
      <c r="A26" s="2">
        <v>21</v>
      </c>
      <c r="B26" s="163">
        <v>6667</v>
      </c>
      <c r="C26" s="2" t="s">
        <v>582</v>
      </c>
      <c r="D26" s="2" t="s">
        <v>612</v>
      </c>
      <c r="E26" s="2" t="s">
        <v>557</v>
      </c>
      <c r="F26" s="42">
        <v>98835.05</v>
      </c>
    </row>
    <row r="27" spans="1:6" x14ac:dyDescent="0.3">
      <c r="A27" s="132">
        <v>22</v>
      </c>
      <c r="B27" s="164">
        <v>378</v>
      </c>
      <c r="C27" s="132" t="s">
        <v>583</v>
      </c>
      <c r="D27" s="2" t="s">
        <v>572</v>
      </c>
      <c r="E27" s="132" t="s">
        <v>33</v>
      </c>
      <c r="F27" s="133">
        <v>41166.67</v>
      </c>
    </row>
    <row r="28" spans="1:6" x14ac:dyDescent="0.3">
      <c r="A28" s="2"/>
      <c r="B28" s="2"/>
      <c r="C28" s="2"/>
      <c r="D28" s="2" t="s">
        <v>87</v>
      </c>
      <c r="E28" s="2"/>
      <c r="F28" s="38">
        <f>SUM(F6:F27)</f>
        <v>2448988.9099999997</v>
      </c>
    </row>
    <row r="29" spans="1:6" x14ac:dyDescent="0.3">
      <c r="A29" s="2"/>
      <c r="B29" s="38" t="s">
        <v>410</v>
      </c>
      <c r="C29" s="2"/>
      <c r="D29" s="2"/>
      <c r="E29" s="2"/>
      <c r="F29" s="2"/>
    </row>
    <row r="30" spans="1:6" x14ac:dyDescent="0.3">
      <c r="A30" s="2">
        <v>1</v>
      </c>
      <c r="B30" s="2">
        <v>102</v>
      </c>
      <c r="C30" s="2" t="s">
        <v>584</v>
      </c>
      <c r="D30" s="2" t="s">
        <v>585</v>
      </c>
      <c r="E30" s="2" t="s">
        <v>586</v>
      </c>
      <c r="F30" s="42">
        <v>368525.47</v>
      </c>
    </row>
    <row r="31" spans="1:6" x14ac:dyDescent="0.3">
      <c r="A31" s="2">
        <v>2</v>
      </c>
      <c r="B31" s="2">
        <v>118</v>
      </c>
      <c r="C31" s="2" t="s">
        <v>588</v>
      </c>
      <c r="D31" s="2" t="s">
        <v>585</v>
      </c>
      <c r="E31" s="2" t="s">
        <v>587</v>
      </c>
      <c r="F31" s="42">
        <v>177383.5</v>
      </c>
    </row>
    <row r="32" spans="1:6" x14ac:dyDescent="0.3">
      <c r="A32" s="2">
        <v>3</v>
      </c>
      <c r="B32" s="2">
        <v>123</v>
      </c>
      <c r="C32" s="2" t="s">
        <v>589</v>
      </c>
      <c r="D32" s="2" t="s">
        <v>585</v>
      </c>
      <c r="E32" s="2" t="s">
        <v>587</v>
      </c>
      <c r="F32" s="42">
        <v>208856.06</v>
      </c>
    </row>
    <row r="33" spans="1:6" x14ac:dyDescent="0.3">
      <c r="A33" s="2">
        <v>4</v>
      </c>
      <c r="B33" s="2">
        <v>122</v>
      </c>
      <c r="C33" s="2" t="s">
        <v>591</v>
      </c>
      <c r="D33" s="2" t="s">
        <v>585</v>
      </c>
      <c r="E33" s="2" t="s">
        <v>592</v>
      </c>
      <c r="F33" s="42">
        <v>145833.32999999999</v>
      </c>
    </row>
    <row r="34" spans="1:6" x14ac:dyDescent="0.3">
      <c r="A34" s="2">
        <v>5</v>
      </c>
      <c r="B34" s="2">
        <v>124</v>
      </c>
      <c r="C34" s="2" t="s">
        <v>582</v>
      </c>
      <c r="D34" s="2" t="s">
        <v>585</v>
      </c>
      <c r="E34" s="2" t="s">
        <v>590</v>
      </c>
      <c r="F34" s="42">
        <v>112662</v>
      </c>
    </row>
    <row r="35" spans="1:6" x14ac:dyDescent="0.3">
      <c r="A35" s="2">
        <v>6</v>
      </c>
      <c r="B35" s="2">
        <v>128</v>
      </c>
      <c r="C35" s="2" t="s">
        <v>593</v>
      </c>
      <c r="D35" s="2" t="s">
        <v>585</v>
      </c>
      <c r="E35" s="2" t="s">
        <v>594</v>
      </c>
      <c r="F35" s="42">
        <v>406185.17</v>
      </c>
    </row>
    <row r="36" spans="1:6" x14ac:dyDescent="0.3">
      <c r="A36" s="2">
        <v>7</v>
      </c>
      <c r="B36" s="198" t="s">
        <v>608</v>
      </c>
      <c r="C36" s="198" t="s">
        <v>609</v>
      </c>
      <c r="D36" s="198" t="s">
        <v>611</v>
      </c>
      <c r="E36" s="198" t="s">
        <v>610</v>
      </c>
      <c r="F36" s="42">
        <v>1608197</v>
      </c>
    </row>
    <row r="37" spans="1:6" x14ac:dyDescent="0.3">
      <c r="A37" s="2"/>
      <c r="B37" s="2"/>
      <c r="C37" s="2"/>
      <c r="D37" s="2"/>
      <c r="E37" s="2"/>
      <c r="F37" s="42"/>
    </row>
    <row r="38" spans="1:6" x14ac:dyDescent="0.3">
      <c r="A38" s="2"/>
      <c r="B38" s="2"/>
      <c r="C38" s="2"/>
      <c r="D38" s="2" t="s">
        <v>87</v>
      </c>
      <c r="E38" s="2"/>
      <c r="F38" s="129">
        <f>SUM(F30:F37)</f>
        <v>3027642.5300000003</v>
      </c>
    </row>
    <row r="39" spans="1:6" x14ac:dyDescent="0.3">
      <c r="A39" s="260" t="s">
        <v>224</v>
      </c>
      <c r="B39" s="261"/>
      <c r="C39" s="261"/>
      <c r="D39" s="261"/>
      <c r="E39" s="262"/>
      <c r="F39" s="129">
        <f>F28+F38</f>
        <v>5476631.4399999995</v>
      </c>
    </row>
    <row r="41" spans="1:6" x14ac:dyDescent="0.3">
      <c r="B41" t="s">
        <v>0</v>
      </c>
      <c r="E41" t="s">
        <v>228</v>
      </c>
    </row>
  </sheetData>
  <mergeCells count="3">
    <mergeCell ref="A1:F1"/>
    <mergeCell ref="A2:F2"/>
    <mergeCell ref="A39:E39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B21" sqref="B21:E21"/>
    </sheetView>
  </sheetViews>
  <sheetFormatPr defaultColWidth="9.21875" defaultRowHeight="13.8" x14ac:dyDescent="0.25"/>
  <cols>
    <col min="1" max="1" width="5.77734375" style="189" customWidth="1"/>
    <col min="2" max="2" width="5.88671875" style="187" customWidth="1"/>
    <col min="3" max="3" width="9.21875" style="187"/>
    <col min="4" max="4" width="15.33203125" style="187" customWidth="1"/>
    <col min="5" max="5" width="32.6640625" style="187" customWidth="1"/>
    <col min="6" max="6" width="12.44140625" style="187" customWidth="1"/>
    <col min="7" max="16384" width="9.21875" style="187"/>
  </cols>
  <sheetData>
    <row r="1" spans="1:6" ht="14.4" x14ac:dyDescent="0.3">
      <c r="A1"/>
      <c r="B1"/>
      <c r="C1"/>
      <c r="D1"/>
    </row>
    <row r="2" spans="1:6" ht="28.2" customHeight="1" x14ac:dyDescent="0.3">
      <c r="A2" s="269" t="s">
        <v>597</v>
      </c>
      <c r="B2" s="269"/>
      <c r="C2" s="269"/>
      <c r="D2" s="269"/>
      <c r="E2" s="269"/>
      <c r="F2" s="269"/>
    </row>
    <row r="3" spans="1:6" ht="14.4" x14ac:dyDescent="0.3">
      <c r="A3" s="2"/>
      <c r="B3" s="2" t="s">
        <v>405</v>
      </c>
      <c r="C3" s="2" t="s">
        <v>406</v>
      </c>
      <c r="D3" s="2" t="s">
        <v>409</v>
      </c>
      <c r="E3" s="2" t="s">
        <v>408</v>
      </c>
      <c r="F3" s="2" t="s">
        <v>230</v>
      </c>
    </row>
    <row r="4" spans="1:6" ht="20.399999999999999" customHeight="1" x14ac:dyDescent="0.3">
      <c r="A4" s="270" t="s">
        <v>598</v>
      </c>
      <c r="B4" s="270"/>
      <c r="C4" s="270"/>
      <c r="D4" s="270"/>
      <c r="E4" s="270"/>
      <c r="F4" s="270"/>
    </row>
    <row r="5" spans="1:6" x14ac:dyDescent="0.25">
      <c r="A5" s="191">
        <v>1</v>
      </c>
      <c r="B5" s="188">
        <v>60</v>
      </c>
      <c r="C5" s="188" t="s">
        <v>581</v>
      </c>
      <c r="D5" s="188" t="s">
        <v>580</v>
      </c>
      <c r="E5" s="188" t="s">
        <v>599</v>
      </c>
      <c r="F5" s="192">
        <v>380000</v>
      </c>
    </row>
    <row r="6" spans="1:6" x14ac:dyDescent="0.25">
      <c r="A6" s="191">
        <v>2</v>
      </c>
      <c r="B6" s="188">
        <v>63</v>
      </c>
      <c r="C6" s="188" t="s">
        <v>565</v>
      </c>
      <c r="D6" s="188" t="s">
        <v>600</v>
      </c>
      <c r="E6" s="188" t="s">
        <v>601</v>
      </c>
      <c r="F6" s="188">
        <v>115457.11</v>
      </c>
    </row>
    <row r="7" spans="1:6" x14ac:dyDescent="0.25">
      <c r="A7" s="191">
        <v>3</v>
      </c>
      <c r="B7" s="188">
        <v>62</v>
      </c>
      <c r="C7" s="188" t="s">
        <v>565</v>
      </c>
      <c r="D7" s="188" t="s">
        <v>600</v>
      </c>
      <c r="E7" s="188" t="s">
        <v>602</v>
      </c>
      <c r="F7" s="188">
        <v>298845.81</v>
      </c>
    </row>
    <row r="8" spans="1:6" x14ac:dyDescent="0.25">
      <c r="A8" s="191"/>
      <c r="B8" s="188"/>
      <c r="C8" s="188"/>
      <c r="D8" s="190" t="s">
        <v>224</v>
      </c>
      <c r="E8" s="188"/>
      <c r="F8" s="193">
        <f>SUM(F5:F7)</f>
        <v>794302.91999999993</v>
      </c>
    </row>
    <row r="9" spans="1:6" ht="15.6" x14ac:dyDescent="0.3">
      <c r="A9" s="270" t="s">
        <v>603</v>
      </c>
      <c r="B9" s="270"/>
      <c r="C9" s="270"/>
      <c r="D9" s="270"/>
      <c r="E9" s="270"/>
      <c r="F9" s="270"/>
    </row>
    <row r="10" spans="1:6" x14ac:dyDescent="0.25">
      <c r="A10" s="191">
        <v>1</v>
      </c>
      <c r="B10" s="266" t="s">
        <v>604</v>
      </c>
      <c r="C10" s="267"/>
      <c r="D10" s="267"/>
      <c r="E10" s="268"/>
      <c r="F10" s="188">
        <v>620533.91</v>
      </c>
    </row>
    <row r="11" spans="1:6" x14ac:dyDescent="0.25">
      <c r="A11" s="191">
        <v>2</v>
      </c>
      <c r="B11" s="266" t="s">
        <v>605</v>
      </c>
      <c r="C11" s="267"/>
      <c r="D11" s="267"/>
      <c r="E11" s="268"/>
      <c r="F11" s="188">
        <v>2404200.4</v>
      </c>
    </row>
    <row r="12" spans="1:6" x14ac:dyDescent="0.25">
      <c r="A12" s="191">
        <v>3</v>
      </c>
      <c r="B12" s="266" t="s">
        <v>606</v>
      </c>
      <c r="C12" s="267"/>
      <c r="D12" s="267"/>
      <c r="E12" s="268"/>
      <c r="F12" s="188">
        <v>4340964.8</v>
      </c>
    </row>
    <row r="13" spans="1:6" x14ac:dyDescent="0.25">
      <c r="A13" s="191">
        <v>4</v>
      </c>
      <c r="B13" s="266" t="s">
        <v>607</v>
      </c>
      <c r="C13" s="267"/>
      <c r="D13" s="267"/>
      <c r="E13" s="268"/>
      <c r="F13" s="188">
        <v>149114.65</v>
      </c>
    </row>
    <row r="14" spans="1:6" x14ac:dyDescent="0.25">
      <c r="A14" s="191"/>
      <c r="B14" s="188"/>
      <c r="C14" s="188"/>
      <c r="D14" s="190" t="s">
        <v>224</v>
      </c>
      <c r="E14" s="188"/>
      <c r="F14" s="190">
        <f>SUM(F10:F13)</f>
        <v>7514813.7599999998</v>
      </c>
    </row>
    <row r="15" spans="1:6" ht="14.4" customHeight="1" x14ac:dyDescent="0.3">
      <c r="A15" s="263" t="s">
        <v>410</v>
      </c>
      <c r="B15" s="264"/>
      <c r="C15" s="264"/>
      <c r="D15" s="264"/>
      <c r="E15" s="264"/>
      <c r="F15" s="265"/>
    </row>
    <row r="16" spans="1:6" ht="14.4" x14ac:dyDescent="0.3">
      <c r="A16" s="191">
        <v>1</v>
      </c>
      <c r="B16" s="195" t="s">
        <v>595</v>
      </c>
      <c r="C16" s="196"/>
      <c r="D16" s="196"/>
      <c r="E16" s="197"/>
      <c r="F16" s="42">
        <v>3368035</v>
      </c>
    </row>
    <row r="17" spans="1:6" x14ac:dyDescent="0.25">
      <c r="A17" s="191"/>
      <c r="B17" s="188"/>
      <c r="C17" s="188"/>
      <c r="D17" s="190" t="s">
        <v>224</v>
      </c>
      <c r="E17" s="188"/>
      <c r="F17" s="193">
        <f>SUM(F16)</f>
        <v>3368035</v>
      </c>
    </row>
    <row r="18" spans="1:6" x14ac:dyDescent="0.25">
      <c r="A18" s="191"/>
      <c r="B18" s="188"/>
      <c r="C18" s="188"/>
      <c r="D18" s="190" t="s">
        <v>451</v>
      </c>
      <c r="E18" s="188"/>
      <c r="F18" s="193">
        <f>F8+F14+F17</f>
        <v>11677151.68</v>
      </c>
    </row>
    <row r="21" spans="1:6" ht="14.4" x14ac:dyDescent="0.3">
      <c r="B21" t="s">
        <v>0</v>
      </c>
      <c r="C21"/>
      <c r="D21"/>
      <c r="E21" t="s">
        <v>228</v>
      </c>
    </row>
  </sheetData>
  <mergeCells count="8">
    <mergeCell ref="A15:F15"/>
    <mergeCell ref="B12:E12"/>
    <mergeCell ref="B13:E13"/>
    <mergeCell ref="A2:F2"/>
    <mergeCell ref="A4:F4"/>
    <mergeCell ref="A9:F9"/>
    <mergeCell ref="B10:E10"/>
    <mergeCell ref="B11:E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67"/>
  <sheetViews>
    <sheetView workbookViewId="0">
      <selection activeCell="A2" sqref="A2:G4"/>
    </sheetView>
  </sheetViews>
  <sheetFormatPr defaultRowHeight="14.4" x14ac:dyDescent="0.3"/>
  <cols>
    <col min="1" max="1" width="7" customWidth="1"/>
    <col min="2" max="2" width="25.44140625" customWidth="1"/>
    <col min="3" max="3" width="10.44140625" customWidth="1"/>
    <col min="4" max="4" width="10.5546875" customWidth="1"/>
    <col min="5" max="5" width="11.77734375" customWidth="1"/>
    <col min="6" max="6" width="10.77734375" customWidth="1"/>
    <col min="7" max="7" width="10.21875" customWidth="1"/>
  </cols>
  <sheetData>
    <row r="1" spans="1:7" x14ac:dyDescent="0.3">
      <c r="A1" s="117"/>
      <c r="B1" s="118" t="s">
        <v>89</v>
      </c>
      <c r="C1" s="118" t="s">
        <v>545</v>
      </c>
      <c r="D1" s="117"/>
      <c r="E1" s="117"/>
      <c r="F1" s="205" t="s">
        <v>83</v>
      </c>
      <c r="G1" s="205"/>
    </row>
    <row r="2" spans="1:7" x14ac:dyDescent="0.3">
      <c r="A2" s="216" t="s">
        <v>82</v>
      </c>
      <c r="B2" s="216"/>
      <c r="C2" s="216"/>
      <c r="D2" s="216"/>
      <c r="E2" s="216"/>
      <c r="F2" s="216"/>
      <c r="G2" s="216"/>
    </row>
    <row r="3" spans="1:7" x14ac:dyDescent="0.3">
      <c r="A3" s="216"/>
      <c r="B3" s="216"/>
      <c r="C3" s="216"/>
      <c r="D3" s="216"/>
      <c r="E3" s="216"/>
      <c r="F3" s="216"/>
      <c r="G3" s="216"/>
    </row>
    <row r="4" spans="1:7" ht="27.75" customHeight="1" thickBot="1" x14ac:dyDescent="0.35">
      <c r="A4" s="217"/>
      <c r="B4" s="217"/>
      <c r="C4" s="217"/>
      <c r="D4" s="217"/>
      <c r="E4" s="217"/>
      <c r="F4" s="217"/>
      <c r="G4" s="217"/>
    </row>
    <row r="5" spans="1:7" ht="57" x14ac:dyDescent="0.3">
      <c r="A5" s="218" t="s">
        <v>8</v>
      </c>
      <c r="B5" s="220" t="s">
        <v>9</v>
      </c>
      <c r="C5" s="220" t="s">
        <v>5</v>
      </c>
      <c r="D5" s="222" t="s">
        <v>10</v>
      </c>
      <c r="E5" s="6" t="s">
        <v>11</v>
      </c>
      <c r="F5" s="6" t="s">
        <v>12</v>
      </c>
      <c r="G5" s="7" t="s">
        <v>13</v>
      </c>
    </row>
    <row r="6" spans="1:7" x14ac:dyDescent="0.3">
      <c r="A6" s="219"/>
      <c r="B6" s="221"/>
      <c r="C6" s="221"/>
      <c r="D6" s="223"/>
      <c r="E6" s="8" t="s">
        <v>14</v>
      </c>
      <c r="F6" s="8" t="s">
        <v>15</v>
      </c>
      <c r="G6" s="9" t="s">
        <v>16</v>
      </c>
    </row>
    <row r="7" spans="1:7" x14ac:dyDescent="0.3">
      <c r="A7" s="10"/>
      <c r="B7" s="11"/>
      <c r="C7" s="11"/>
      <c r="D7" s="8"/>
      <c r="E7" s="12" t="s">
        <v>17</v>
      </c>
      <c r="F7" s="12" t="s">
        <v>18</v>
      </c>
      <c r="G7" s="13" t="s">
        <v>19</v>
      </c>
    </row>
    <row r="8" spans="1:7" x14ac:dyDescent="0.3">
      <c r="A8" s="10">
        <v>1</v>
      </c>
      <c r="B8" s="11">
        <f>+A8+1</f>
        <v>2</v>
      </c>
      <c r="C8" s="11">
        <f>+B8+1</f>
        <v>3</v>
      </c>
      <c r="D8" s="8">
        <f>+C8+1</f>
        <v>4</v>
      </c>
      <c r="E8" s="8">
        <f>+D8+1</f>
        <v>5</v>
      </c>
      <c r="F8" s="8">
        <f>+E8+1</f>
        <v>6</v>
      </c>
      <c r="G8" s="9" t="s">
        <v>20</v>
      </c>
    </row>
    <row r="9" spans="1:7" x14ac:dyDescent="0.3">
      <c r="A9" s="209">
        <v>1</v>
      </c>
      <c r="B9" s="215" t="s">
        <v>21</v>
      </c>
      <c r="C9" s="215" t="s">
        <v>22</v>
      </c>
      <c r="D9" s="14">
        <v>1150</v>
      </c>
      <c r="E9" s="15"/>
      <c r="F9" s="15"/>
      <c r="G9" s="16">
        <f>E9*F9</f>
        <v>0</v>
      </c>
    </row>
    <row r="10" spans="1:7" x14ac:dyDescent="0.3">
      <c r="A10" s="209"/>
      <c r="B10" s="215"/>
      <c r="C10" s="215"/>
      <c r="D10" s="14">
        <v>750</v>
      </c>
      <c r="E10" s="15"/>
      <c r="F10" s="15"/>
      <c r="G10" s="16">
        <f>E10*F10</f>
        <v>0</v>
      </c>
    </row>
    <row r="11" spans="1:7" x14ac:dyDescent="0.3">
      <c r="A11" s="209"/>
      <c r="B11" s="215"/>
      <c r="C11" s="215"/>
      <c r="D11" s="14" t="s">
        <v>23</v>
      </c>
      <c r="E11" s="15"/>
      <c r="F11" s="15"/>
      <c r="G11" s="16">
        <f>E11*F11</f>
        <v>0</v>
      </c>
    </row>
    <row r="12" spans="1:7" x14ac:dyDescent="0.3">
      <c r="A12" s="209"/>
      <c r="B12" s="215"/>
      <c r="C12" s="215"/>
      <c r="D12" s="14">
        <v>330</v>
      </c>
      <c r="E12" s="15"/>
      <c r="F12" s="15"/>
      <c r="G12" s="16">
        <f>E12*F12</f>
        <v>0</v>
      </c>
    </row>
    <row r="13" spans="1:7" x14ac:dyDescent="0.3">
      <c r="A13" s="209"/>
      <c r="B13" s="215"/>
      <c r="C13" s="215"/>
      <c r="D13" s="14">
        <v>220</v>
      </c>
      <c r="E13" s="15"/>
      <c r="F13" s="15"/>
      <c r="G13" s="16">
        <f t="shared" ref="G13:G50" si="0">E13*F13</f>
        <v>0</v>
      </c>
    </row>
    <row r="14" spans="1:7" x14ac:dyDescent="0.3">
      <c r="A14" s="209"/>
      <c r="B14" s="215"/>
      <c r="C14" s="215"/>
      <c r="D14" s="14" t="s">
        <v>24</v>
      </c>
      <c r="E14" s="15"/>
      <c r="F14" s="15"/>
      <c r="G14" s="16">
        <f t="shared" si="0"/>
        <v>0</v>
      </c>
    </row>
    <row r="15" spans="1:7" x14ac:dyDescent="0.3">
      <c r="A15" s="209"/>
      <c r="B15" s="215"/>
      <c r="C15" s="215"/>
      <c r="D15" s="14">
        <v>35</v>
      </c>
      <c r="E15" s="15">
        <v>75</v>
      </c>
      <c r="F15" s="15">
        <v>1</v>
      </c>
      <c r="G15" s="16">
        <f t="shared" si="0"/>
        <v>75</v>
      </c>
    </row>
    <row r="16" spans="1:7" x14ac:dyDescent="0.3">
      <c r="A16" s="209">
        <v>2</v>
      </c>
      <c r="B16" s="215" t="s">
        <v>25</v>
      </c>
      <c r="C16" s="215" t="s">
        <v>26</v>
      </c>
      <c r="D16" s="14">
        <v>1150</v>
      </c>
      <c r="E16" s="15"/>
      <c r="F16" s="15"/>
      <c r="G16" s="16">
        <f t="shared" si="0"/>
        <v>0</v>
      </c>
    </row>
    <row r="17" spans="1:7" x14ac:dyDescent="0.3">
      <c r="A17" s="209"/>
      <c r="B17" s="215"/>
      <c r="C17" s="215"/>
      <c r="D17" s="14">
        <v>750</v>
      </c>
      <c r="E17" s="15"/>
      <c r="F17" s="15"/>
      <c r="G17" s="16">
        <f t="shared" si="0"/>
        <v>0</v>
      </c>
    </row>
    <row r="18" spans="1:7" x14ac:dyDescent="0.3">
      <c r="A18" s="209"/>
      <c r="B18" s="215"/>
      <c r="C18" s="215"/>
      <c r="D18" s="14" t="s">
        <v>23</v>
      </c>
      <c r="E18" s="15"/>
      <c r="F18" s="15"/>
      <c r="G18" s="16">
        <f t="shared" si="0"/>
        <v>0</v>
      </c>
    </row>
    <row r="19" spans="1:7" x14ac:dyDescent="0.3">
      <c r="A19" s="209"/>
      <c r="B19" s="215"/>
      <c r="C19" s="215"/>
      <c r="D19" s="14">
        <v>330</v>
      </c>
      <c r="E19" s="15"/>
      <c r="F19" s="15"/>
      <c r="G19" s="16">
        <f t="shared" si="0"/>
        <v>0</v>
      </c>
    </row>
    <row r="20" spans="1:7" x14ac:dyDescent="0.3">
      <c r="A20" s="209"/>
      <c r="B20" s="215"/>
      <c r="C20" s="215"/>
      <c r="D20" s="14">
        <v>220</v>
      </c>
      <c r="E20" s="15"/>
      <c r="F20" s="15"/>
      <c r="G20" s="16">
        <f t="shared" si="0"/>
        <v>0</v>
      </c>
    </row>
    <row r="21" spans="1:7" x14ac:dyDescent="0.3">
      <c r="A21" s="209"/>
      <c r="B21" s="215"/>
      <c r="C21" s="215"/>
      <c r="D21" s="14" t="s">
        <v>24</v>
      </c>
      <c r="E21" s="15"/>
      <c r="F21" s="15"/>
      <c r="G21" s="16">
        <f t="shared" si="0"/>
        <v>0</v>
      </c>
    </row>
    <row r="22" spans="1:7" x14ac:dyDescent="0.3">
      <c r="A22" s="209"/>
      <c r="B22" s="215"/>
      <c r="C22" s="215"/>
      <c r="D22" s="14">
        <v>35</v>
      </c>
      <c r="E22" s="15"/>
      <c r="F22" s="15"/>
      <c r="G22" s="16">
        <f t="shared" si="0"/>
        <v>0</v>
      </c>
    </row>
    <row r="23" spans="1:7" x14ac:dyDescent="0.3">
      <c r="A23" s="209"/>
      <c r="B23" s="215"/>
      <c r="C23" s="215"/>
      <c r="D23" s="17" t="s">
        <v>27</v>
      </c>
      <c r="E23" s="15">
        <v>1</v>
      </c>
      <c r="F23" s="15">
        <v>2</v>
      </c>
      <c r="G23" s="16">
        <f t="shared" si="0"/>
        <v>2</v>
      </c>
    </row>
    <row r="24" spans="1:7" x14ac:dyDescent="0.3">
      <c r="A24" s="209">
        <v>3</v>
      </c>
      <c r="B24" s="215" t="s">
        <v>28</v>
      </c>
      <c r="C24" s="215" t="s">
        <v>29</v>
      </c>
      <c r="D24" s="14">
        <v>1150</v>
      </c>
      <c r="E24" s="15"/>
      <c r="F24" s="15"/>
      <c r="G24" s="16">
        <f t="shared" si="0"/>
        <v>0</v>
      </c>
    </row>
    <row r="25" spans="1:7" x14ac:dyDescent="0.3">
      <c r="A25" s="209"/>
      <c r="B25" s="215"/>
      <c r="C25" s="215"/>
      <c r="D25" s="14">
        <v>750</v>
      </c>
      <c r="E25" s="15"/>
      <c r="F25" s="15"/>
      <c r="G25" s="16">
        <f t="shared" si="0"/>
        <v>0</v>
      </c>
    </row>
    <row r="26" spans="1:7" x14ac:dyDescent="0.3">
      <c r="A26" s="209"/>
      <c r="B26" s="215"/>
      <c r="C26" s="215"/>
      <c r="D26" s="14" t="s">
        <v>23</v>
      </c>
      <c r="E26" s="15"/>
      <c r="F26" s="15"/>
      <c r="G26" s="16">
        <f t="shared" si="0"/>
        <v>0</v>
      </c>
    </row>
    <row r="27" spans="1:7" x14ac:dyDescent="0.3">
      <c r="A27" s="209"/>
      <c r="B27" s="215"/>
      <c r="C27" s="215"/>
      <c r="D27" s="14">
        <v>330</v>
      </c>
      <c r="E27" s="15"/>
      <c r="F27" s="15"/>
      <c r="G27" s="16">
        <f t="shared" si="0"/>
        <v>0</v>
      </c>
    </row>
    <row r="28" spans="1:7" x14ac:dyDescent="0.3">
      <c r="A28" s="209"/>
      <c r="B28" s="215"/>
      <c r="C28" s="215"/>
      <c r="D28" s="14">
        <v>220</v>
      </c>
      <c r="E28" s="15"/>
      <c r="F28" s="15"/>
      <c r="G28" s="16">
        <f t="shared" si="0"/>
        <v>0</v>
      </c>
    </row>
    <row r="29" spans="1:7" x14ac:dyDescent="0.3">
      <c r="A29" s="209"/>
      <c r="B29" s="215"/>
      <c r="C29" s="215"/>
      <c r="D29" s="14" t="s">
        <v>24</v>
      </c>
      <c r="E29" s="15"/>
      <c r="F29" s="15"/>
      <c r="G29" s="16">
        <f t="shared" si="0"/>
        <v>0</v>
      </c>
    </row>
    <row r="30" spans="1:7" x14ac:dyDescent="0.3">
      <c r="A30" s="209"/>
      <c r="B30" s="215"/>
      <c r="C30" s="215"/>
      <c r="D30" s="14">
        <v>35</v>
      </c>
      <c r="E30" s="15"/>
      <c r="F30" s="15"/>
      <c r="G30" s="16">
        <f t="shared" si="0"/>
        <v>0</v>
      </c>
    </row>
    <row r="31" spans="1:7" x14ac:dyDescent="0.3">
      <c r="A31" s="209"/>
      <c r="B31" s="215"/>
      <c r="C31" s="215"/>
      <c r="D31" s="17" t="s">
        <v>27</v>
      </c>
      <c r="E31" s="15"/>
      <c r="F31" s="15"/>
      <c r="G31" s="16">
        <f t="shared" si="0"/>
        <v>0</v>
      </c>
    </row>
    <row r="32" spans="1:7" x14ac:dyDescent="0.3">
      <c r="A32" s="209">
        <v>4</v>
      </c>
      <c r="B32" s="215" t="s">
        <v>30</v>
      </c>
      <c r="C32" s="215" t="s">
        <v>31</v>
      </c>
      <c r="D32" s="14">
        <v>220</v>
      </c>
      <c r="E32" s="15"/>
      <c r="F32" s="15"/>
      <c r="G32" s="16">
        <f t="shared" si="0"/>
        <v>0</v>
      </c>
    </row>
    <row r="33" spans="1:7" x14ac:dyDescent="0.3">
      <c r="A33" s="209"/>
      <c r="B33" s="215"/>
      <c r="C33" s="215"/>
      <c r="D33" s="14" t="s">
        <v>24</v>
      </c>
      <c r="E33" s="15"/>
      <c r="F33" s="15"/>
      <c r="G33" s="16">
        <f t="shared" si="0"/>
        <v>0</v>
      </c>
    </row>
    <row r="34" spans="1:7" x14ac:dyDescent="0.3">
      <c r="A34" s="209"/>
      <c r="B34" s="215"/>
      <c r="C34" s="215"/>
      <c r="D34" s="14">
        <v>35</v>
      </c>
      <c r="E34" s="15">
        <v>6.4</v>
      </c>
      <c r="F34" s="15">
        <v>3</v>
      </c>
      <c r="G34" s="16">
        <f t="shared" si="0"/>
        <v>19.200000000000003</v>
      </c>
    </row>
    <row r="35" spans="1:7" x14ac:dyDescent="0.3">
      <c r="A35" s="209"/>
      <c r="B35" s="215"/>
      <c r="C35" s="215"/>
      <c r="D35" s="17" t="s">
        <v>27</v>
      </c>
      <c r="E35" s="15">
        <v>3.1</v>
      </c>
      <c r="F35" s="15">
        <v>41</v>
      </c>
      <c r="G35" s="16">
        <f t="shared" si="0"/>
        <v>127.10000000000001</v>
      </c>
    </row>
    <row r="36" spans="1:7" x14ac:dyDescent="0.3">
      <c r="A36" s="209">
        <v>5</v>
      </c>
      <c r="B36" s="215" t="s">
        <v>32</v>
      </c>
      <c r="C36" s="215" t="s">
        <v>26</v>
      </c>
      <c r="D36" s="14" t="s">
        <v>23</v>
      </c>
      <c r="E36" s="15"/>
      <c r="F36" s="15"/>
      <c r="G36" s="16">
        <f t="shared" si="0"/>
        <v>0</v>
      </c>
    </row>
    <row r="37" spans="1:7" x14ac:dyDescent="0.3">
      <c r="A37" s="209"/>
      <c r="B37" s="215"/>
      <c r="C37" s="215"/>
      <c r="D37" s="14">
        <v>330</v>
      </c>
      <c r="E37" s="15"/>
      <c r="F37" s="15"/>
      <c r="G37" s="16">
        <f t="shared" si="0"/>
        <v>0</v>
      </c>
    </row>
    <row r="38" spans="1:7" x14ac:dyDescent="0.3">
      <c r="A38" s="209"/>
      <c r="B38" s="215"/>
      <c r="C38" s="215"/>
      <c r="D38" s="14">
        <v>220</v>
      </c>
      <c r="E38" s="15"/>
      <c r="F38" s="15"/>
      <c r="G38" s="16">
        <f t="shared" si="0"/>
        <v>0</v>
      </c>
    </row>
    <row r="39" spans="1:7" x14ac:dyDescent="0.3">
      <c r="A39" s="209"/>
      <c r="B39" s="215"/>
      <c r="C39" s="215"/>
      <c r="D39" s="14" t="s">
        <v>24</v>
      </c>
      <c r="E39" s="15"/>
      <c r="F39" s="15"/>
      <c r="G39" s="16">
        <f t="shared" si="0"/>
        <v>0</v>
      </c>
    </row>
    <row r="40" spans="1:7" x14ac:dyDescent="0.3">
      <c r="A40" s="209"/>
      <c r="B40" s="215"/>
      <c r="C40" s="215"/>
      <c r="D40" s="14">
        <v>35</v>
      </c>
      <c r="E40" s="15">
        <v>4.7</v>
      </c>
      <c r="F40" s="15">
        <v>6</v>
      </c>
      <c r="G40" s="16">
        <f t="shared" si="0"/>
        <v>28.200000000000003</v>
      </c>
    </row>
    <row r="41" spans="1:7" ht="22.5" customHeight="1" x14ac:dyDescent="0.3">
      <c r="A41" s="18">
        <v>6</v>
      </c>
      <c r="B41" s="19" t="s">
        <v>33</v>
      </c>
      <c r="C41" s="19" t="s">
        <v>31</v>
      </c>
      <c r="D41" s="17" t="s">
        <v>27</v>
      </c>
      <c r="E41" s="15">
        <v>2.2999999999999998</v>
      </c>
      <c r="F41" s="15">
        <v>440</v>
      </c>
      <c r="G41" s="16">
        <f t="shared" si="0"/>
        <v>1011.9999999999999</v>
      </c>
    </row>
    <row r="42" spans="1:7" ht="31.5" customHeight="1" x14ac:dyDescent="0.3">
      <c r="A42" s="18">
        <v>7</v>
      </c>
      <c r="B42" s="19" t="s">
        <v>34</v>
      </c>
      <c r="C42" s="19" t="s">
        <v>31</v>
      </c>
      <c r="D42" s="17" t="s">
        <v>27</v>
      </c>
      <c r="E42" s="15"/>
      <c r="F42" s="15"/>
      <c r="G42" s="16">
        <f t="shared" si="0"/>
        <v>0</v>
      </c>
    </row>
    <row r="43" spans="1:7" ht="18" customHeight="1" x14ac:dyDescent="0.3">
      <c r="A43" s="18">
        <v>8</v>
      </c>
      <c r="B43" s="19" t="s">
        <v>35</v>
      </c>
      <c r="C43" s="19" t="s">
        <v>31</v>
      </c>
      <c r="D43" s="17" t="s">
        <v>27</v>
      </c>
      <c r="E43" s="15"/>
      <c r="F43" s="15"/>
      <c r="G43" s="16">
        <f t="shared" si="0"/>
        <v>0</v>
      </c>
    </row>
    <row r="44" spans="1:7" x14ac:dyDescent="0.3">
      <c r="A44" s="206">
        <v>9</v>
      </c>
      <c r="B44" s="207" t="s">
        <v>36</v>
      </c>
      <c r="C44" s="208" t="s">
        <v>37</v>
      </c>
      <c r="D44" s="14" t="s">
        <v>24</v>
      </c>
      <c r="E44" s="15"/>
      <c r="F44" s="15"/>
      <c r="G44" s="16">
        <f t="shared" si="0"/>
        <v>0</v>
      </c>
    </row>
    <row r="45" spans="1:7" x14ac:dyDescent="0.3">
      <c r="A45" s="206"/>
      <c r="B45" s="207"/>
      <c r="C45" s="208"/>
      <c r="D45" s="14">
        <v>35</v>
      </c>
      <c r="E45" s="15"/>
      <c r="F45" s="15"/>
      <c r="G45" s="16">
        <f t="shared" si="0"/>
        <v>0</v>
      </c>
    </row>
    <row r="46" spans="1:7" x14ac:dyDescent="0.3">
      <c r="A46" s="206"/>
      <c r="B46" s="207"/>
      <c r="C46" s="208"/>
      <c r="D46" s="17" t="s">
        <v>27</v>
      </c>
      <c r="E46" s="15"/>
      <c r="F46" s="15"/>
      <c r="G46" s="16">
        <f t="shared" si="0"/>
        <v>0</v>
      </c>
    </row>
    <row r="47" spans="1:7" ht="28.5" customHeight="1" x14ac:dyDescent="0.3">
      <c r="A47" s="18">
        <v>10</v>
      </c>
      <c r="B47" s="19" t="s">
        <v>38</v>
      </c>
      <c r="C47" s="19" t="s">
        <v>39</v>
      </c>
      <c r="D47" s="17" t="s">
        <v>27</v>
      </c>
      <c r="E47" s="15">
        <v>2.5</v>
      </c>
      <c r="F47" s="15">
        <v>8</v>
      </c>
      <c r="G47" s="16">
        <f t="shared" si="0"/>
        <v>20</v>
      </c>
    </row>
    <row r="48" spans="1:7" ht="38.25" customHeight="1" x14ac:dyDescent="0.3">
      <c r="A48" s="18">
        <v>11</v>
      </c>
      <c r="B48" s="19" t="s">
        <v>40</v>
      </c>
      <c r="C48" s="19" t="s">
        <v>41</v>
      </c>
      <c r="D48" s="17" t="s">
        <v>27</v>
      </c>
      <c r="E48" s="15">
        <v>2.2999999999999998</v>
      </c>
      <c r="F48" s="15">
        <v>64</v>
      </c>
      <c r="G48" s="16">
        <f t="shared" si="0"/>
        <v>147.19999999999999</v>
      </c>
    </row>
    <row r="49" spans="1:9" ht="29.25" customHeight="1" x14ac:dyDescent="0.3">
      <c r="A49" s="18">
        <v>12</v>
      </c>
      <c r="B49" s="19" t="s">
        <v>42</v>
      </c>
      <c r="C49" s="19" t="s">
        <v>41</v>
      </c>
      <c r="D49" s="17" t="s">
        <v>27</v>
      </c>
      <c r="E49" s="15">
        <v>3</v>
      </c>
      <c r="F49" s="15">
        <v>40</v>
      </c>
      <c r="G49" s="16">
        <f t="shared" si="0"/>
        <v>120</v>
      </c>
    </row>
    <row r="50" spans="1:9" ht="30" customHeight="1" x14ac:dyDescent="0.3">
      <c r="A50" s="18">
        <v>13</v>
      </c>
      <c r="B50" s="19" t="s">
        <v>43</v>
      </c>
      <c r="C50" s="19" t="s">
        <v>44</v>
      </c>
      <c r="D50" s="14">
        <v>35</v>
      </c>
      <c r="E50" s="15"/>
      <c r="F50" s="15"/>
      <c r="G50" s="16">
        <f t="shared" si="0"/>
        <v>0</v>
      </c>
    </row>
    <row r="51" spans="1:9" x14ac:dyDescent="0.3">
      <c r="A51" s="209" t="s">
        <v>45</v>
      </c>
      <c r="B51" s="211" t="s">
        <v>7</v>
      </c>
      <c r="C51" s="213"/>
      <c r="D51" s="14" t="s">
        <v>46</v>
      </c>
      <c r="E51" s="20"/>
      <c r="F51" s="20"/>
      <c r="G51" s="21">
        <f>G39+G38+G33+G32+G29+G28+G21+G20+G14+G13+G44</f>
        <v>0</v>
      </c>
    </row>
    <row r="52" spans="1:9" x14ac:dyDescent="0.3">
      <c r="A52" s="209"/>
      <c r="B52" s="211"/>
      <c r="C52" s="213"/>
      <c r="D52" s="14" t="s">
        <v>47</v>
      </c>
      <c r="E52" s="20"/>
      <c r="F52" s="20"/>
      <c r="G52" s="21">
        <f>G34+G40+G15</f>
        <v>122.4</v>
      </c>
    </row>
    <row r="53" spans="1:9" x14ac:dyDescent="0.3">
      <c r="A53" s="209"/>
      <c r="B53" s="211"/>
      <c r="C53" s="213"/>
      <c r="D53" s="14" t="s">
        <v>48</v>
      </c>
      <c r="E53" s="20"/>
      <c r="F53" s="20"/>
      <c r="G53" s="21">
        <f>G23+G35+G41+G47+G48+G49</f>
        <v>1428.3</v>
      </c>
      <c r="I53" s="119"/>
    </row>
    <row r="54" spans="1:9" ht="15" thickBot="1" x14ac:dyDescent="0.35">
      <c r="A54" s="210"/>
      <c r="B54" s="212"/>
      <c r="C54" s="214"/>
      <c r="D54" s="22" t="s">
        <v>49</v>
      </c>
      <c r="E54" s="23"/>
      <c r="F54" s="23"/>
      <c r="G54" s="24">
        <f>SUM(G9:G50) - G51-G52-G53</f>
        <v>0</v>
      </c>
    </row>
    <row r="56" spans="1:9" x14ac:dyDescent="0.3">
      <c r="B56" s="25"/>
    </row>
    <row r="57" spans="1:9" x14ac:dyDescent="0.3">
      <c r="A57" s="5" t="s">
        <v>427</v>
      </c>
      <c r="B57" s="66"/>
      <c r="C57" s="66"/>
      <c r="D57" s="66"/>
      <c r="E57" s="66"/>
      <c r="F57" s="66"/>
      <c r="G57" s="66"/>
      <c r="H57" s="5"/>
    </row>
    <row r="58" spans="1:9" x14ac:dyDescent="0.3">
      <c r="A58" s="5" t="s">
        <v>428</v>
      </c>
      <c r="B58" s="5"/>
      <c r="C58" s="5"/>
      <c r="D58" s="5"/>
      <c r="E58" s="5"/>
      <c r="F58" s="5"/>
      <c r="G58" s="5"/>
      <c r="H58" s="5"/>
    </row>
    <row r="59" spans="1:9" x14ac:dyDescent="0.3">
      <c r="A59" s="5"/>
      <c r="B59" s="5" t="s">
        <v>429</v>
      </c>
      <c r="C59" s="5"/>
      <c r="D59" s="5"/>
      <c r="E59" s="5"/>
      <c r="F59" s="5"/>
      <c r="G59" s="5"/>
      <c r="H59" s="5"/>
    </row>
    <row r="60" spans="1:9" x14ac:dyDescent="0.3">
      <c r="A60" s="5"/>
      <c r="B60" s="5" t="s">
        <v>430</v>
      </c>
      <c r="C60" s="5"/>
      <c r="D60" s="5"/>
      <c r="E60" s="5"/>
      <c r="F60" s="5"/>
      <c r="G60" s="5"/>
      <c r="H60" s="5"/>
    </row>
    <row r="61" spans="1:9" x14ac:dyDescent="0.3">
      <c r="A61" s="5"/>
      <c r="B61" s="5" t="s">
        <v>431</v>
      </c>
      <c r="C61" s="5"/>
      <c r="D61" s="5"/>
      <c r="E61" s="5"/>
      <c r="F61" s="5"/>
      <c r="G61" s="5"/>
      <c r="H61" s="5"/>
    </row>
    <row r="62" spans="1:9" x14ac:dyDescent="0.3">
      <c r="A62" s="5" t="s">
        <v>432</v>
      </c>
      <c r="B62" s="5"/>
      <c r="C62" s="5"/>
      <c r="D62" s="5"/>
      <c r="E62" s="5"/>
      <c r="F62" s="5"/>
      <c r="G62" s="5"/>
      <c r="H62" s="5"/>
    </row>
    <row r="63" spans="1:9" x14ac:dyDescent="0.3">
      <c r="A63" s="5" t="s">
        <v>433</v>
      </c>
      <c r="B63" s="5"/>
      <c r="C63" s="5"/>
      <c r="D63" s="5"/>
      <c r="E63" s="5"/>
      <c r="F63" s="5"/>
      <c r="G63" s="5"/>
      <c r="H63" s="5"/>
    </row>
    <row r="64" spans="1:9" x14ac:dyDescent="0.3">
      <c r="A64" s="5" t="s">
        <v>434</v>
      </c>
      <c r="B64" s="5"/>
      <c r="C64" s="5"/>
      <c r="D64" s="5"/>
      <c r="E64" s="5"/>
      <c r="F64" s="5"/>
      <c r="G64" s="5"/>
      <c r="H64" s="5"/>
    </row>
    <row r="65" spans="1:8" x14ac:dyDescent="0.3">
      <c r="A65" s="5"/>
      <c r="B65" s="5"/>
      <c r="C65" s="5"/>
      <c r="D65" s="5"/>
      <c r="E65" s="5"/>
      <c r="F65" s="5"/>
      <c r="G65" s="5"/>
      <c r="H65" s="5"/>
    </row>
    <row r="66" spans="1:8" x14ac:dyDescent="0.3">
      <c r="A66" s="5" t="s">
        <v>435</v>
      </c>
      <c r="B66" s="5"/>
      <c r="C66" s="5"/>
      <c r="D66" s="5"/>
      <c r="E66" s="5"/>
      <c r="F66" s="5"/>
      <c r="G66" s="5"/>
      <c r="H66" s="5"/>
    </row>
    <row r="67" spans="1:8" x14ac:dyDescent="0.3">
      <c r="A67" s="140" t="s">
        <v>436</v>
      </c>
      <c r="B67" s="5"/>
      <c r="C67" s="5"/>
      <c r="D67" s="5"/>
      <c r="E67" s="5"/>
      <c r="F67" s="5"/>
      <c r="G67" s="5"/>
      <c r="H67" s="5"/>
    </row>
  </sheetData>
  <protectedRanges>
    <protectedRange sqref="E9:F54" name="Диапазон1"/>
  </protectedRanges>
  <mergeCells count="27">
    <mergeCell ref="A24:A31"/>
    <mergeCell ref="B24:B31"/>
    <mergeCell ref="C24:C31"/>
    <mergeCell ref="A2:G4"/>
    <mergeCell ref="A5:A6"/>
    <mergeCell ref="B5:B6"/>
    <mergeCell ref="C5:C6"/>
    <mergeCell ref="D5:D6"/>
    <mergeCell ref="A9:A15"/>
    <mergeCell ref="B9:B15"/>
    <mergeCell ref="C9:C15"/>
    <mergeCell ref="F1:G1"/>
    <mergeCell ref="A44:A46"/>
    <mergeCell ref="B44:B46"/>
    <mergeCell ref="C44:C46"/>
    <mergeCell ref="A51:A54"/>
    <mergeCell ref="B51:B54"/>
    <mergeCell ref="C51:C54"/>
    <mergeCell ref="A32:A35"/>
    <mergeCell ref="B32:B35"/>
    <mergeCell ref="C32:C35"/>
    <mergeCell ref="A36:A40"/>
    <mergeCell ref="B36:B40"/>
    <mergeCell ref="C36:C40"/>
    <mergeCell ref="A16:A23"/>
    <mergeCell ref="B16:B23"/>
    <mergeCell ref="C16:C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60"/>
  <sheetViews>
    <sheetView topLeftCell="A25" workbookViewId="0">
      <selection activeCell="A2" sqref="A2:H5"/>
    </sheetView>
  </sheetViews>
  <sheetFormatPr defaultColWidth="8.77734375" defaultRowHeight="13.8" x14ac:dyDescent="0.3"/>
  <cols>
    <col min="1" max="1" width="7" style="5" customWidth="1"/>
    <col min="2" max="2" width="9.5546875" style="5" customWidth="1"/>
    <col min="3" max="3" width="8" style="5" customWidth="1"/>
    <col min="4" max="4" width="8.77734375" style="5" customWidth="1"/>
    <col min="5" max="5" width="20.77734375" style="5" customWidth="1"/>
    <col min="6" max="6" width="10.21875" style="5" customWidth="1"/>
    <col min="7" max="7" width="11.5546875" style="5" customWidth="1"/>
    <col min="8" max="16384" width="8.77734375" style="5"/>
  </cols>
  <sheetData>
    <row r="1" spans="1:8" x14ac:dyDescent="0.3">
      <c r="A1" s="120"/>
      <c r="B1" s="121" t="s">
        <v>89</v>
      </c>
      <c r="C1" s="120"/>
      <c r="D1" s="120"/>
      <c r="E1" s="121" t="s">
        <v>546</v>
      </c>
      <c r="F1" s="120"/>
      <c r="G1" s="120" t="s">
        <v>84</v>
      </c>
      <c r="H1" s="120"/>
    </row>
    <row r="2" spans="1:8" x14ac:dyDescent="0.3">
      <c r="A2" s="216" t="s">
        <v>81</v>
      </c>
      <c r="B2" s="216"/>
      <c r="C2" s="216"/>
      <c r="D2" s="216"/>
      <c r="E2" s="216"/>
      <c r="F2" s="216"/>
      <c r="G2" s="216"/>
      <c r="H2" s="216"/>
    </row>
    <row r="3" spans="1:8" x14ac:dyDescent="0.3">
      <c r="A3" s="216"/>
      <c r="B3" s="216"/>
      <c r="C3" s="216"/>
      <c r="D3" s="216"/>
      <c r="E3" s="216"/>
      <c r="F3" s="216"/>
      <c r="G3" s="216"/>
      <c r="H3" s="216"/>
    </row>
    <row r="4" spans="1:8" x14ac:dyDescent="0.3">
      <c r="A4" s="216"/>
      <c r="B4" s="216"/>
      <c r="C4" s="216"/>
      <c r="D4" s="216"/>
      <c r="E4" s="216"/>
      <c r="F4" s="216"/>
      <c r="G4" s="216"/>
      <c r="H4" s="216"/>
    </row>
    <row r="5" spans="1:8" ht="17.55" customHeight="1" thickBot="1" x14ac:dyDescent="0.35">
      <c r="A5" s="217"/>
      <c r="B5" s="217"/>
      <c r="C5" s="217"/>
      <c r="D5" s="217"/>
      <c r="E5" s="217"/>
      <c r="F5" s="217"/>
      <c r="G5" s="217"/>
      <c r="H5" s="217"/>
    </row>
    <row r="6" spans="1:8" ht="82.95" customHeight="1" x14ac:dyDescent="0.3">
      <c r="A6" s="226" t="s">
        <v>50</v>
      </c>
      <c r="B6" s="228" t="s">
        <v>10</v>
      </c>
      <c r="C6" s="46"/>
      <c r="D6" s="228" t="s">
        <v>51</v>
      </c>
      <c r="E6" s="228" t="s">
        <v>52</v>
      </c>
      <c r="F6" s="47" t="s">
        <v>53</v>
      </c>
      <c r="G6" s="47" t="s">
        <v>54</v>
      </c>
      <c r="H6" s="48" t="s">
        <v>13</v>
      </c>
    </row>
    <row r="7" spans="1:8" ht="11.55" customHeight="1" x14ac:dyDescent="0.3">
      <c r="A7" s="227"/>
      <c r="B7" s="229"/>
      <c r="C7" s="49"/>
      <c r="D7" s="229"/>
      <c r="E7" s="229"/>
      <c r="F7" s="50" t="s">
        <v>55</v>
      </c>
      <c r="G7" s="50" t="s">
        <v>6</v>
      </c>
      <c r="H7" s="51" t="s">
        <v>16</v>
      </c>
    </row>
    <row r="8" spans="1:8" x14ac:dyDescent="0.3">
      <c r="A8" s="52"/>
      <c r="B8" s="50"/>
      <c r="C8" s="49"/>
      <c r="D8" s="50"/>
      <c r="E8" s="50"/>
      <c r="F8" s="50" t="s">
        <v>17</v>
      </c>
      <c r="G8" s="50" t="s">
        <v>18</v>
      </c>
      <c r="H8" s="51" t="s">
        <v>19</v>
      </c>
    </row>
    <row r="9" spans="1:8" ht="26.4" x14ac:dyDescent="0.3">
      <c r="A9" s="53">
        <v>1</v>
      </c>
      <c r="B9" s="50">
        <f>+A9+1</f>
        <v>2</v>
      </c>
      <c r="C9" s="49"/>
      <c r="D9" s="50">
        <f>+B9+1</f>
        <v>3</v>
      </c>
      <c r="E9" s="50">
        <f>+D9+1</f>
        <v>4</v>
      </c>
      <c r="F9" s="50">
        <f>+E9+1</f>
        <v>5</v>
      </c>
      <c r="G9" s="50">
        <f>+F9+1</f>
        <v>6</v>
      </c>
      <c r="H9" s="51" t="s">
        <v>56</v>
      </c>
    </row>
    <row r="10" spans="1:8" x14ac:dyDescent="0.3">
      <c r="A10" s="224" t="s">
        <v>57</v>
      </c>
      <c r="B10" s="54">
        <v>1150</v>
      </c>
      <c r="C10" s="54">
        <v>1150</v>
      </c>
      <c r="D10" s="54" t="s">
        <v>58</v>
      </c>
      <c r="E10" s="54" t="s">
        <v>59</v>
      </c>
      <c r="F10" s="55"/>
      <c r="G10" s="55"/>
      <c r="H10" s="56">
        <f t="shared" ref="H10:H29" si="0">F10*G10/100</f>
        <v>0</v>
      </c>
    </row>
    <row r="11" spans="1:8" x14ac:dyDescent="0.3">
      <c r="A11" s="224"/>
      <c r="B11" s="54">
        <v>750</v>
      </c>
      <c r="C11" s="54">
        <v>750</v>
      </c>
      <c r="D11" s="54">
        <v>1</v>
      </c>
      <c r="E11" s="54" t="s">
        <v>59</v>
      </c>
      <c r="F11" s="55"/>
      <c r="G11" s="55"/>
      <c r="H11" s="56">
        <f t="shared" si="0"/>
        <v>0</v>
      </c>
    </row>
    <row r="12" spans="1:8" x14ac:dyDescent="0.3">
      <c r="A12" s="224"/>
      <c r="B12" s="225" t="s">
        <v>23</v>
      </c>
      <c r="C12" s="54" t="s">
        <v>60</v>
      </c>
      <c r="D12" s="225">
        <v>1</v>
      </c>
      <c r="E12" s="54" t="s">
        <v>59</v>
      </c>
      <c r="F12" s="55"/>
      <c r="G12" s="55"/>
      <c r="H12" s="56">
        <f t="shared" si="0"/>
        <v>0</v>
      </c>
    </row>
    <row r="13" spans="1:8" x14ac:dyDescent="0.3">
      <c r="A13" s="224"/>
      <c r="B13" s="225"/>
      <c r="C13" s="54" t="s">
        <v>60</v>
      </c>
      <c r="D13" s="225"/>
      <c r="E13" s="54" t="s">
        <v>61</v>
      </c>
      <c r="F13" s="55"/>
      <c r="G13" s="55"/>
      <c r="H13" s="56">
        <f t="shared" si="0"/>
        <v>0</v>
      </c>
    </row>
    <row r="14" spans="1:8" x14ac:dyDescent="0.3">
      <c r="A14" s="224"/>
      <c r="B14" s="225">
        <v>330</v>
      </c>
      <c r="C14" s="54">
        <v>330</v>
      </c>
      <c r="D14" s="225">
        <v>1</v>
      </c>
      <c r="E14" s="54" t="s">
        <v>59</v>
      </c>
      <c r="F14" s="55"/>
      <c r="G14" s="55"/>
      <c r="H14" s="56">
        <f t="shared" si="0"/>
        <v>0</v>
      </c>
    </row>
    <row r="15" spans="1:8" x14ac:dyDescent="0.3">
      <c r="A15" s="224"/>
      <c r="B15" s="225"/>
      <c r="C15" s="54">
        <v>330</v>
      </c>
      <c r="D15" s="225"/>
      <c r="E15" s="54" t="s">
        <v>61</v>
      </c>
      <c r="F15" s="55"/>
      <c r="G15" s="55"/>
      <c r="H15" s="56">
        <f t="shared" si="0"/>
        <v>0</v>
      </c>
    </row>
    <row r="16" spans="1:8" x14ac:dyDescent="0.3">
      <c r="A16" s="224"/>
      <c r="B16" s="225"/>
      <c r="C16" s="54">
        <v>330</v>
      </c>
      <c r="D16" s="225">
        <v>2</v>
      </c>
      <c r="E16" s="54" t="s">
        <v>59</v>
      </c>
      <c r="F16" s="55"/>
      <c r="G16" s="55"/>
      <c r="H16" s="56">
        <f t="shared" si="0"/>
        <v>0</v>
      </c>
    </row>
    <row r="17" spans="1:8" x14ac:dyDescent="0.3">
      <c r="A17" s="224"/>
      <c r="B17" s="225"/>
      <c r="C17" s="54">
        <v>330</v>
      </c>
      <c r="D17" s="225"/>
      <c r="E17" s="54" t="s">
        <v>61</v>
      </c>
      <c r="F17" s="55"/>
      <c r="G17" s="55"/>
      <c r="H17" s="56">
        <f t="shared" si="0"/>
        <v>0</v>
      </c>
    </row>
    <row r="18" spans="1:8" x14ac:dyDescent="0.3">
      <c r="A18" s="224"/>
      <c r="B18" s="225">
        <v>220</v>
      </c>
      <c r="C18" s="54">
        <v>220</v>
      </c>
      <c r="D18" s="225">
        <v>1</v>
      </c>
      <c r="E18" s="54" t="s">
        <v>62</v>
      </c>
      <c r="F18" s="55"/>
      <c r="G18" s="55"/>
      <c r="H18" s="56">
        <f t="shared" si="0"/>
        <v>0</v>
      </c>
    </row>
    <row r="19" spans="1:8" x14ac:dyDescent="0.3">
      <c r="A19" s="224"/>
      <c r="B19" s="225"/>
      <c r="C19" s="54">
        <v>220</v>
      </c>
      <c r="D19" s="225"/>
      <c r="E19" s="54" t="s">
        <v>59</v>
      </c>
      <c r="F19" s="55"/>
      <c r="G19" s="55"/>
      <c r="H19" s="56">
        <f t="shared" si="0"/>
        <v>0</v>
      </c>
    </row>
    <row r="20" spans="1:8" x14ac:dyDescent="0.3">
      <c r="A20" s="224"/>
      <c r="B20" s="225"/>
      <c r="C20" s="54">
        <v>220</v>
      </c>
      <c r="D20" s="225"/>
      <c r="E20" s="54" t="s">
        <v>61</v>
      </c>
      <c r="F20" s="55"/>
      <c r="G20" s="55"/>
      <c r="H20" s="56">
        <f t="shared" si="0"/>
        <v>0</v>
      </c>
    </row>
    <row r="21" spans="1:8" x14ac:dyDescent="0.3">
      <c r="A21" s="224"/>
      <c r="B21" s="225"/>
      <c r="C21" s="54">
        <v>220</v>
      </c>
      <c r="D21" s="225">
        <v>2</v>
      </c>
      <c r="E21" s="54" t="s">
        <v>59</v>
      </c>
      <c r="F21" s="55"/>
      <c r="G21" s="55"/>
      <c r="H21" s="56">
        <f t="shared" si="0"/>
        <v>0</v>
      </c>
    </row>
    <row r="22" spans="1:8" x14ac:dyDescent="0.3">
      <c r="A22" s="224"/>
      <c r="B22" s="225"/>
      <c r="C22" s="54">
        <v>220</v>
      </c>
      <c r="D22" s="225"/>
      <c r="E22" s="54" t="s">
        <v>61</v>
      </c>
      <c r="F22" s="55"/>
      <c r="G22" s="55"/>
      <c r="H22" s="56">
        <f t="shared" si="0"/>
        <v>0</v>
      </c>
    </row>
    <row r="23" spans="1:8" x14ac:dyDescent="0.3">
      <c r="A23" s="224"/>
      <c r="B23" s="225" t="s">
        <v>24</v>
      </c>
      <c r="C23" s="54" t="s">
        <v>63</v>
      </c>
      <c r="D23" s="225">
        <v>1</v>
      </c>
      <c r="E23" s="54" t="s">
        <v>62</v>
      </c>
      <c r="F23" s="55"/>
      <c r="G23" s="55"/>
      <c r="H23" s="56">
        <f t="shared" si="0"/>
        <v>0</v>
      </c>
    </row>
    <row r="24" spans="1:8" x14ac:dyDescent="0.3">
      <c r="A24" s="224"/>
      <c r="B24" s="225"/>
      <c r="C24" s="54" t="s">
        <v>63</v>
      </c>
      <c r="D24" s="225"/>
      <c r="E24" s="54" t="s">
        <v>59</v>
      </c>
      <c r="F24" s="55"/>
      <c r="G24" s="55"/>
      <c r="H24" s="56">
        <f t="shared" si="0"/>
        <v>0</v>
      </c>
    </row>
    <row r="25" spans="1:8" x14ac:dyDescent="0.3">
      <c r="A25" s="224"/>
      <c r="B25" s="225"/>
      <c r="C25" s="54" t="s">
        <v>63</v>
      </c>
      <c r="D25" s="225"/>
      <c r="E25" s="54" t="s">
        <v>61</v>
      </c>
      <c r="F25" s="55"/>
      <c r="G25" s="55"/>
      <c r="H25" s="56">
        <f t="shared" si="0"/>
        <v>0</v>
      </c>
    </row>
    <row r="26" spans="1:8" x14ac:dyDescent="0.3">
      <c r="A26" s="224"/>
      <c r="B26" s="225"/>
      <c r="C26" s="54" t="s">
        <v>63</v>
      </c>
      <c r="D26" s="225">
        <v>2</v>
      </c>
      <c r="E26" s="54" t="s">
        <v>59</v>
      </c>
      <c r="F26" s="55"/>
      <c r="G26" s="55"/>
      <c r="H26" s="56">
        <f t="shared" si="0"/>
        <v>0</v>
      </c>
    </row>
    <row r="27" spans="1:8" x14ac:dyDescent="0.3">
      <c r="A27" s="224"/>
      <c r="B27" s="225"/>
      <c r="C27" s="54" t="s">
        <v>63</v>
      </c>
      <c r="D27" s="225"/>
      <c r="E27" s="54" t="s">
        <v>61</v>
      </c>
      <c r="F27" s="55"/>
      <c r="G27" s="55"/>
      <c r="H27" s="56">
        <f t="shared" si="0"/>
        <v>0</v>
      </c>
    </row>
    <row r="28" spans="1:8" x14ac:dyDescent="0.3">
      <c r="A28" s="224" t="s">
        <v>64</v>
      </c>
      <c r="B28" s="54">
        <v>220</v>
      </c>
      <c r="C28" s="54">
        <v>220</v>
      </c>
      <c r="D28" s="54" t="s">
        <v>58</v>
      </c>
      <c r="E28" s="54" t="s">
        <v>58</v>
      </c>
      <c r="F28" s="55"/>
      <c r="G28" s="55"/>
      <c r="H28" s="56">
        <f t="shared" si="0"/>
        <v>0</v>
      </c>
    </row>
    <row r="29" spans="1:8" x14ac:dyDescent="0.3">
      <c r="A29" s="224"/>
      <c r="B29" s="54">
        <v>110</v>
      </c>
      <c r="C29" s="54">
        <v>110</v>
      </c>
      <c r="D29" s="54" t="s">
        <v>58</v>
      </c>
      <c r="E29" s="54" t="s">
        <v>58</v>
      </c>
      <c r="F29" s="55"/>
      <c r="G29" s="55"/>
      <c r="H29" s="56">
        <f t="shared" si="0"/>
        <v>0</v>
      </c>
    </row>
    <row r="30" spans="1:8" x14ac:dyDescent="0.3">
      <c r="A30" s="57" t="s">
        <v>65</v>
      </c>
      <c r="B30" s="54"/>
      <c r="C30" s="54"/>
      <c r="D30" s="54"/>
      <c r="E30" s="54"/>
      <c r="F30" s="58"/>
      <c r="G30" s="58"/>
      <c r="H30" s="59">
        <f>SUM(H18:H29)</f>
        <v>0</v>
      </c>
    </row>
    <row r="31" spans="1:8" x14ac:dyDescent="0.3">
      <c r="A31" s="224" t="s">
        <v>57</v>
      </c>
      <c r="B31" s="225">
        <v>35</v>
      </c>
      <c r="C31" s="54">
        <v>35</v>
      </c>
      <c r="D31" s="225">
        <v>1</v>
      </c>
      <c r="E31" s="54" t="s">
        <v>62</v>
      </c>
      <c r="F31" s="60"/>
      <c r="G31" s="60"/>
      <c r="H31" s="56">
        <f t="shared" ref="H31:H40" si="1">F31*G31/100</f>
        <v>0</v>
      </c>
    </row>
    <row r="32" spans="1:8" x14ac:dyDescent="0.3">
      <c r="A32" s="224"/>
      <c r="B32" s="225"/>
      <c r="C32" s="54">
        <v>35</v>
      </c>
      <c r="D32" s="225"/>
      <c r="E32" s="54" t="s">
        <v>59</v>
      </c>
      <c r="F32" s="60">
        <v>140</v>
      </c>
      <c r="G32" s="60">
        <v>16.309999999999999</v>
      </c>
      <c r="H32" s="56">
        <f t="shared" si="1"/>
        <v>22.833999999999996</v>
      </c>
    </row>
    <row r="33" spans="1:8" x14ac:dyDescent="0.3">
      <c r="A33" s="224"/>
      <c r="B33" s="225"/>
      <c r="C33" s="54">
        <v>35</v>
      </c>
      <c r="D33" s="225"/>
      <c r="E33" s="54" t="s">
        <v>61</v>
      </c>
      <c r="F33" s="60">
        <v>120</v>
      </c>
      <c r="G33" s="60">
        <v>24.37</v>
      </c>
      <c r="H33" s="56">
        <f t="shared" si="1"/>
        <v>29.244</v>
      </c>
    </row>
    <row r="34" spans="1:8" x14ac:dyDescent="0.3">
      <c r="A34" s="224"/>
      <c r="B34" s="225"/>
      <c r="C34" s="54">
        <v>35</v>
      </c>
      <c r="D34" s="225">
        <v>2</v>
      </c>
      <c r="E34" s="54" t="s">
        <v>59</v>
      </c>
      <c r="F34" s="60"/>
      <c r="G34" s="60"/>
      <c r="H34" s="56"/>
    </row>
    <row r="35" spans="1:8" x14ac:dyDescent="0.3">
      <c r="A35" s="224"/>
      <c r="B35" s="225"/>
      <c r="C35" s="54">
        <v>35</v>
      </c>
      <c r="D35" s="225"/>
      <c r="E35" s="54" t="s">
        <v>61</v>
      </c>
      <c r="F35" s="60"/>
      <c r="G35" s="60"/>
      <c r="H35" s="56"/>
    </row>
    <row r="36" spans="1:8" x14ac:dyDescent="0.3">
      <c r="A36" s="224"/>
      <c r="B36" s="225" t="s">
        <v>66</v>
      </c>
      <c r="C36" s="54" t="s">
        <v>67</v>
      </c>
      <c r="D36" s="225" t="s">
        <v>58</v>
      </c>
      <c r="E36" s="54" t="s">
        <v>62</v>
      </c>
      <c r="F36" s="60">
        <v>160</v>
      </c>
      <c r="G36" s="61">
        <v>2.1800000000000002</v>
      </c>
      <c r="H36" s="56">
        <f t="shared" si="1"/>
        <v>3.488</v>
      </c>
    </row>
    <row r="37" spans="1:8" x14ac:dyDescent="0.3">
      <c r="A37" s="224"/>
      <c r="B37" s="225"/>
      <c r="C37" s="54" t="s">
        <v>67</v>
      </c>
      <c r="D37" s="225"/>
      <c r="E37" s="54" t="s">
        <v>68</v>
      </c>
      <c r="F37" s="60">
        <v>140</v>
      </c>
      <c r="G37" s="60">
        <v>52.89</v>
      </c>
      <c r="H37" s="56">
        <f t="shared" si="1"/>
        <v>74.046000000000006</v>
      </c>
    </row>
    <row r="38" spans="1:8" x14ac:dyDescent="0.3">
      <c r="A38" s="224"/>
      <c r="B38" s="225"/>
      <c r="C38" s="54" t="s">
        <v>67</v>
      </c>
      <c r="D38" s="225"/>
      <c r="E38" s="54" t="s">
        <v>69</v>
      </c>
      <c r="F38" s="60">
        <v>110</v>
      </c>
      <c r="G38" s="60">
        <v>20.12</v>
      </c>
      <c r="H38" s="56">
        <f t="shared" si="1"/>
        <v>22.132000000000001</v>
      </c>
    </row>
    <row r="39" spans="1:8" x14ac:dyDescent="0.3">
      <c r="A39" s="224" t="s">
        <v>64</v>
      </c>
      <c r="B39" s="54" t="s">
        <v>70</v>
      </c>
      <c r="C39" s="54" t="s">
        <v>71</v>
      </c>
      <c r="D39" s="54" t="s">
        <v>58</v>
      </c>
      <c r="E39" s="54" t="s">
        <v>58</v>
      </c>
      <c r="F39" s="60"/>
      <c r="G39" s="60"/>
      <c r="H39" s="56">
        <f t="shared" si="1"/>
        <v>0</v>
      </c>
    </row>
    <row r="40" spans="1:8" x14ac:dyDescent="0.3">
      <c r="A40" s="224"/>
      <c r="B40" s="54" t="s">
        <v>72</v>
      </c>
      <c r="C40" s="54" t="s">
        <v>73</v>
      </c>
      <c r="D40" s="54" t="s">
        <v>58</v>
      </c>
      <c r="E40" s="54" t="s">
        <v>58</v>
      </c>
      <c r="F40" s="60">
        <v>350</v>
      </c>
      <c r="G40" s="61">
        <v>23.08</v>
      </c>
      <c r="H40" s="56">
        <f t="shared" si="1"/>
        <v>80.779999999999987</v>
      </c>
    </row>
    <row r="41" spans="1:8" x14ac:dyDescent="0.3">
      <c r="A41" s="57" t="s">
        <v>74</v>
      </c>
      <c r="B41" s="54"/>
      <c r="C41" s="54"/>
      <c r="D41" s="54"/>
      <c r="E41" s="54"/>
      <c r="F41" s="58"/>
      <c r="G41" s="58"/>
      <c r="H41" s="59">
        <f>H32+H33</f>
        <v>52.077999999999996</v>
      </c>
    </row>
    <row r="42" spans="1:8" x14ac:dyDescent="0.3">
      <c r="A42" s="57" t="s">
        <v>75</v>
      </c>
      <c r="B42" s="54"/>
      <c r="C42" s="54"/>
      <c r="D42" s="54"/>
      <c r="E42" s="54"/>
      <c r="F42" s="58"/>
      <c r="G42" s="58"/>
      <c r="H42" s="141">
        <v>180.44</v>
      </c>
    </row>
    <row r="43" spans="1:8" x14ac:dyDescent="0.3">
      <c r="A43" s="224" t="s">
        <v>57</v>
      </c>
      <c r="B43" s="225" t="s">
        <v>76</v>
      </c>
      <c r="C43" s="54" t="s">
        <v>77</v>
      </c>
      <c r="D43" s="225" t="s">
        <v>58</v>
      </c>
      <c r="E43" s="54" t="s">
        <v>62</v>
      </c>
      <c r="F43" s="60">
        <v>260</v>
      </c>
      <c r="G43" s="61">
        <v>6.86</v>
      </c>
      <c r="H43" s="56">
        <f>F43*G43/100</f>
        <v>17.836000000000002</v>
      </c>
    </row>
    <row r="44" spans="1:8" x14ac:dyDescent="0.3">
      <c r="A44" s="224"/>
      <c r="B44" s="225"/>
      <c r="C44" s="54" t="s">
        <v>77</v>
      </c>
      <c r="D44" s="225"/>
      <c r="E44" s="54" t="s">
        <v>68</v>
      </c>
      <c r="F44" s="60">
        <v>220</v>
      </c>
      <c r="G44" s="60">
        <v>137.69999999999999</v>
      </c>
      <c r="H44" s="56">
        <f>F44*G44/100</f>
        <v>302.93999999999994</v>
      </c>
    </row>
    <row r="45" spans="1:8" x14ac:dyDescent="0.3">
      <c r="A45" s="224"/>
      <c r="B45" s="225"/>
      <c r="C45" s="54" t="s">
        <v>77</v>
      </c>
      <c r="D45" s="225"/>
      <c r="E45" s="54" t="s">
        <v>69</v>
      </c>
      <c r="F45" s="60">
        <v>150</v>
      </c>
      <c r="G45" s="60">
        <v>8.32</v>
      </c>
      <c r="H45" s="56">
        <f>F45*G45/100</f>
        <v>12.48</v>
      </c>
    </row>
    <row r="46" spans="1:8" x14ac:dyDescent="0.3">
      <c r="A46" s="57" t="s">
        <v>64</v>
      </c>
      <c r="B46" s="54" t="s">
        <v>78</v>
      </c>
      <c r="C46" s="54" t="s">
        <v>79</v>
      </c>
      <c r="D46" s="54" t="s">
        <v>58</v>
      </c>
      <c r="E46" s="54" t="s">
        <v>58</v>
      </c>
      <c r="F46" s="60">
        <v>270</v>
      </c>
      <c r="G46" s="61">
        <v>23.92</v>
      </c>
      <c r="H46" s="56">
        <f>F46*G46/100</f>
        <v>64.584000000000003</v>
      </c>
    </row>
    <row r="47" spans="1:8" ht="14.4" thickBot="1" x14ac:dyDescent="0.35">
      <c r="A47" s="62" t="s">
        <v>80</v>
      </c>
      <c r="B47" s="63"/>
      <c r="C47" s="63"/>
      <c r="D47" s="63"/>
      <c r="E47" s="63"/>
      <c r="F47" s="64"/>
      <c r="G47" s="64"/>
      <c r="H47" s="65">
        <f>SUM(H43:H46)</f>
        <v>397.84</v>
      </c>
    </row>
    <row r="49" spans="1:7" x14ac:dyDescent="0.3">
      <c r="B49" s="66"/>
      <c r="C49" s="66"/>
      <c r="D49" s="66"/>
      <c r="E49" s="66"/>
      <c r="F49" s="66"/>
      <c r="G49" s="66"/>
    </row>
    <row r="50" spans="1:7" x14ac:dyDescent="0.3">
      <c r="A50" s="5" t="s">
        <v>427</v>
      </c>
      <c r="B50" s="66"/>
      <c r="C50" s="66"/>
      <c r="D50" s="66"/>
      <c r="E50" s="66"/>
      <c r="F50" s="66"/>
      <c r="G50" s="66"/>
    </row>
    <row r="51" spans="1:7" x14ac:dyDescent="0.3">
      <c r="A51" s="5" t="s">
        <v>428</v>
      </c>
    </row>
    <row r="52" spans="1:7" x14ac:dyDescent="0.3">
      <c r="B52" s="5" t="s">
        <v>429</v>
      </c>
    </row>
    <row r="53" spans="1:7" x14ac:dyDescent="0.3">
      <c r="B53" s="5" t="s">
        <v>430</v>
      </c>
    </row>
    <row r="54" spans="1:7" x14ac:dyDescent="0.3">
      <c r="B54" s="5" t="s">
        <v>431</v>
      </c>
    </row>
    <row r="55" spans="1:7" x14ac:dyDescent="0.3">
      <c r="A55" s="5" t="s">
        <v>432</v>
      </c>
    </row>
    <row r="56" spans="1:7" x14ac:dyDescent="0.3">
      <c r="A56" s="5" t="s">
        <v>433</v>
      </c>
    </row>
    <row r="57" spans="1:7" x14ac:dyDescent="0.3">
      <c r="A57" s="5" t="s">
        <v>434</v>
      </c>
    </row>
    <row r="59" spans="1:7" x14ac:dyDescent="0.3">
      <c r="A59" s="5" t="s">
        <v>435</v>
      </c>
    </row>
    <row r="60" spans="1:7" x14ac:dyDescent="0.3">
      <c r="A60" s="140" t="s">
        <v>436</v>
      </c>
    </row>
  </sheetData>
  <protectedRanges>
    <protectedRange sqref="F10:G47" name="Диапазон1"/>
  </protectedRanges>
  <mergeCells count="28">
    <mergeCell ref="A10:A27"/>
    <mergeCell ref="B12:B13"/>
    <mergeCell ref="D12:D13"/>
    <mergeCell ref="B14:B17"/>
    <mergeCell ref="D14:D15"/>
    <mergeCell ref="D16:D17"/>
    <mergeCell ref="B18:B22"/>
    <mergeCell ref="D18:D20"/>
    <mergeCell ref="D21:D22"/>
    <mergeCell ref="B23:B27"/>
    <mergeCell ref="D23:D25"/>
    <mergeCell ref="D26:D27"/>
    <mergeCell ref="A2:H5"/>
    <mergeCell ref="A6:A7"/>
    <mergeCell ref="B6:B7"/>
    <mergeCell ref="D6:D7"/>
    <mergeCell ref="E6:E7"/>
    <mergeCell ref="A39:A40"/>
    <mergeCell ref="A43:A45"/>
    <mergeCell ref="B43:B45"/>
    <mergeCell ref="D43:D45"/>
    <mergeCell ref="A28:A29"/>
    <mergeCell ref="A31:A38"/>
    <mergeCell ref="B31:B35"/>
    <mergeCell ref="D31:D33"/>
    <mergeCell ref="D34:D35"/>
    <mergeCell ref="B36:B38"/>
    <mergeCell ref="D36:D3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35"/>
  <sheetViews>
    <sheetView workbookViewId="0">
      <selection activeCell="D19" sqref="D19"/>
    </sheetView>
  </sheetViews>
  <sheetFormatPr defaultRowHeight="14.4" x14ac:dyDescent="0.3"/>
  <cols>
    <col min="9" max="9" width="10" customWidth="1"/>
  </cols>
  <sheetData>
    <row r="1" spans="1:8" ht="23.4" x14ac:dyDescent="0.45">
      <c r="A1" s="200" t="s">
        <v>616</v>
      </c>
      <c r="B1" s="200"/>
      <c r="C1" s="200"/>
      <c r="D1" s="200"/>
      <c r="E1" s="200"/>
      <c r="F1" s="200"/>
    </row>
    <row r="2" spans="1:8" ht="23.4" x14ac:dyDescent="0.45">
      <c r="A2" s="200"/>
      <c r="B2" s="200"/>
      <c r="C2" s="200"/>
      <c r="D2" s="200"/>
      <c r="E2" s="200"/>
      <c r="F2" s="200"/>
    </row>
    <row r="3" spans="1:8" ht="23.4" x14ac:dyDescent="0.45">
      <c r="A3" s="200"/>
      <c r="B3" s="200"/>
      <c r="C3" s="200"/>
      <c r="D3" s="200"/>
      <c r="E3" s="200"/>
      <c r="F3" s="200"/>
    </row>
    <row r="4" spans="1:8" s="201" customFormat="1" ht="18" x14ac:dyDescent="0.35"/>
    <row r="5" spans="1:8" s="201" customFormat="1" ht="18" x14ac:dyDescent="0.35">
      <c r="A5" s="201" t="s">
        <v>617</v>
      </c>
    </row>
    <row r="6" spans="1:8" s="201" customFormat="1" ht="18" x14ac:dyDescent="0.35">
      <c r="A6" s="201" t="s">
        <v>618</v>
      </c>
    </row>
    <row r="7" spans="1:8" s="201" customFormat="1" ht="18" x14ac:dyDescent="0.35">
      <c r="A7" s="201" t="s">
        <v>619</v>
      </c>
    </row>
    <row r="8" spans="1:8" ht="18" x14ac:dyDescent="0.35">
      <c r="A8" s="201" t="s">
        <v>620</v>
      </c>
      <c r="B8" s="201"/>
      <c r="C8" s="201"/>
      <c r="D8" s="201"/>
      <c r="E8" s="201"/>
      <c r="F8" s="201"/>
      <c r="G8" s="201"/>
      <c r="H8" s="201"/>
    </row>
    <row r="9" spans="1:8" ht="18" x14ac:dyDescent="0.35">
      <c r="A9" s="201" t="s">
        <v>621</v>
      </c>
      <c r="B9" s="201"/>
      <c r="C9" s="201"/>
      <c r="D9" s="201"/>
      <c r="E9" s="201"/>
      <c r="F9" s="201"/>
      <c r="G9" s="201"/>
      <c r="H9" s="201"/>
    </row>
    <row r="10" spans="1:8" ht="18" x14ac:dyDescent="0.35">
      <c r="A10" s="201"/>
      <c r="B10" s="201"/>
      <c r="C10" s="201"/>
      <c r="D10" s="201"/>
      <c r="E10" s="201"/>
      <c r="F10" s="201"/>
      <c r="G10" s="201"/>
      <c r="H10" s="201"/>
    </row>
    <row r="11" spans="1:8" ht="18" x14ac:dyDescent="0.35">
      <c r="A11" s="201" t="s">
        <v>622</v>
      </c>
      <c r="B11" s="201"/>
      <c r="C11" s="201"/>
      <c r="D11" s="201"/>
      <c r="E11" s="201"/>
      <c r="F11" s="201"/>
      <c r="G11" s="201"/>
      <c r="H11" s="201"/>
    </row>
    <row r="12" spans="1:8" ht="18" x14ac:dyDescent="0.35">
      <c r="A12" s="201" t="s">
        <v>623</v>
      </c>
      <c r="B12" s="201"/>
      <c r="C12" s="201"/>
      <c r="D12" s="201"/>
      <c r="E12" s="201"/>
      <c r="F12" s="201"/>
      <c r="G12" s="201"/>
      <c r="H12" s="201"/>
    </row>
    <row r="13" spans="1:8" ht="18" x14ac:dyDescent="0.35">
      <c r="A13" s="201"/>
      <c r="B13" s="201"/>
      <c r="C13" s="201"/>
      <c r="D13" s="201"/>
      <c r="E13" s="201"/>
      <c r="F13" s="201"/>
      <c r="G13" s="201"/>
      <c r="H13" s="201"/>
    </row>
    <row r="14" spans="1:8" ht="18" x14ac:dyDescent="0.35">
      <c r="A14" s="201"/>
      <c r="B14" s="201"/>
      <c r="C14" s="201"/>
      <c r="D14" s="201"/>
      <c r="E14" s="201"/>
      <c r="F14" s="201"/>
      <c r="G14" s="201"/>
      <c r="H14" s="201"/>
    </row>
    <row r="15" spans="1:8" ht="18" x14ac:dyDescent="0.35">
      <c r="A15" s="201" t="s">
        <v>0</v>
      </c>
      <c r="B15" s="201"/>
      <c r="C15" s="201"/>
      <c r="D15" s="201"/>
      <c r="E15" s="201"/>
      <c r="F15" s="201" t="s">
        <v>227</v>
      </c>
      <c r="G15" s="201"/>
      <c r="H15" s="201"/>
    </row>
    <row r="16" spans="1:8" ht="18" x14ac:dyDescent="0.35">
      <c r="A16" s="201"/>
      <c r="B16" s="201"/>
      <c r="C16" s="201"/>
      <c r="D16" s="201"/>
      <c r="E16" s="201"/>
      <c r="F16" s="201"/>
      <c r="G16" s="201"/>
      <c r="H16" s="201"/>
    </row>
    <row r="17" spans="1:8" ht="18" x14ac:dyDescent="0.35">
      <c r="A17" s="201"/>
      <c r="B17" s="201"/>
      <c r="C17" s="201"/>
      <c r="D17" s="201"/>
      <c r="E17" s="201"/>
      <c r="F17" s="201"/>
      <c r="G17" s="201"/>
      <c r="H17" s="201"/>
    </row>
    <row r="18" spans="1:8" ht="18" x14ac:dyDescent="0.35">
      <c r="A18" s="201"/>
      <c r="B18" s="201"/>
      <c r="C18" s="201"/>
      <c r="D18" s="201"/>
      <c r="E18" s="201"/>
      <c r="F18" s="201"/>
      <c r="G18" s="201"/>
      <c r="H18" s="201"/>
    </row>
    <row r="19" spans="1:8" ht="18" x14ac:dyDescent="0.35">
      <c r="A19" s="201"/>
      <c r="B19" s="201"/>
      <c r="C19" s="201"/>
      <c r="D19" s="201"/>
      <c r="E19" s="201"/>
      <c r="F19" s="201"/>
      <c r="G19" s="201"/>
      <c r="H19" s="201"/>
    </row>
    <row r="20" spans="1:8" ht="18" x14ac:dyDescent="0.35">
      <c r="A20" s="201"/>
      <c r="B20" s="201"/>
      <c r="C20" s="201"/>
      <c r="D20" s="201"/>
      <c r="E20" s="201"/>
      <c r="F20" s="201"/>
      <c r="G20" s="201"/>
      <c r="H20" s="201"/>
    </row>
    <row r="21" spans="1:8" ht="18" x14ac:dyDescent="0.35">
      <c r="A21" s="201"/>
      <c r="B21" s="201"/>
      <c r="C21" s="201"/>
      <c r="D21" s="201"/>
      <c r="E21" s="201"/>
      <c r="F21" s="201"/>
      <c r="G21" s="201"/>
      <c r="H21" s="201"/>
    </row>
    <row r="22" spans="1:8" ht="18" x14ac:dyDescent="0.35">
      <c r="A22" s="201"/>
      <c r="B22" s="201"/>
      <c r="C22" s="201"/>
      <c r="D22" s="201"/>
      <c r="E22" s="201"/>
      <c r="F22" s="201"/>
      <c r="G22" s="201"/>
      <c r="H22" s="201"/>
    </row>
    <row r="23" spans="1:8" ht="18" x14ac:dyDescent="0.35">
      <c r="A23" s="201"/>
      <c r="B23" s="201"/>
      <c r="C23" s="201"/>
      <c r="D23" s="201"/>
      <c r="E23" s="201"/>
      <c r="F23" s="201"/>
      <c r="G23" s="201"/>
      <c r="H23" s="201"/>
    </row>
    <row r="24" spans="1:8" ht="18" x14ac:dyDescent="0.35">
      <c r="A24" s="201"/>
      <c r="B24" s="201"/>
      <c r="C24" s="201"/>
      <c r="D24" s="201"/>
      <c r="E24" s="201"/>
      <c r="F24" s="201"/>
      <c r="G24" s="201"/>
      <c r="H24" s="201"/>
    </row>
    <row r="25" spans="1:8" ht="18" x14ac:dyDescent="0.35">
      <c r="A25" s="201"/>
      <c r="B25" s="201"/>
      <c r="C25" s="201"/>
      <c r="D25" s="201"/>
      <c r="E25" s="201"/>
      <c r="F25" s="201"/>
      <c r="G25" s="201"/>
      <c r="H25" s="201"/>
    </row>
    <row r="26" spans="1:8" ht="18" x14ac:dyDescent="0.35">
      <c r="A26" s="201"/>
      <c r="B26" s="201"/>
      <c r="C26" s="201"/>
      <c r="D26" s="201"/>
      <c r="E26" s="201"/>
      <c r="F26" s="201"/>
      <c r="G26" s="201"/>
      <c r="H26" s="201"/>
    </row>
    <row r="27" spans="1:8" ht="18" x14ac:dyDescent="0.35">
      <c r="A27" s="201"/>
      <c r="B27" s="201"/>
      <c r="C27" s="201"/>
      <c r="D27" s="201"/>
      <c r="E27" s="201"/>
      <c r="F27" s="201"/>
      <c r="G27" s="201"/>
      <c r="H27" s="201"/>
    </row>
    <row r="28" spans="1:8" ht="18" x14ac:dyDescent="0.35">
      <c r="A28" s="201"/>
      <c r="B28" s="201"/>
      <c r="C28" s="201"/>
      <c r="D28" s="201"/>
      <c r="E28" s="201"/>
      <c r="F28" s="201"/>
      <c r="G28" s="201"/>
      <c r="H28" s="201"/>
    </row>
    <row r="29" spans="1:8" ht="18" x14ac:dyDescent="0.35">
      <c r="A29" s="201"/>
      <c r="B29" s="201"/>
      <c r="C29" s="201"/>
      <c r="D29" s="201"/>
      <c r="E29" s="201"/>
      <c r="F29" s="201"/>
      <c r="G29" s="201"/>
      <c r="H29" s="201"/>
    </row>
    <row r="30" spans="1:8" ht="18" x14ac:dyDescent="0.35">
      <c r="A30" s="201"/>
      <c r="B30" s="201"/>
      <c r="C30" s="201"/>
      <c r="D30" s="201"/>
      <c r="E30" s="201"/>
      <c r="F30" s="201"/>
      <c r="G30" s="201"/>
      <c r="H30" s="201"/>
    </row>
    <row r="31" spans="1:8" ht="18" x14ac:dyDescent="0.35">
      <c r="A31" s="201"/>
      <c r="B31" s="201"/>
      <c r="C31" s="201"/>
      <c r="D31" s="201"/>
      <c r="E31" s="201"/>
      <c r="F31" s="201"/>
      <c r="G31" s="201"/>
      <c r="H31" s="201"/>
    </row>
    <row r="32" spans="1:8" ht="18" x14ac:dyDescent="0.35">
      <c r="A32" s="201"/>
      <c r="B32" s="201"/>
      <c r="C32" s="201"/>
      <c r="D32" s="201"/>
      <c r="E32" s="201"/>
      <c r="F32" s="201"/>
      <c r="G32" s="201"/>
      <c r="H32" s="201"/>
    </row>
    <row r="33" spans="1:8" ht="18" x14ac:dyDescent="0.35">
      <c r="A33" s="201"/>
      <c r="B33" s="201"/>
      <c r="C33" s="201"/>
      <c r="D33" s="201"/>
      <c r="E33" s="201"/>
      <c r="F33" s="201"/>
      <c r="G33" s="201"/>
      <c r="H33" s="201"/>
    </row>
    <row r="34" spans="1:8" ht="18" x14ac:dyDescent="0.35">
      <c r="A34" s="201"/>
      <c r="B34" s="201"/>
      <c r="C34" s="201"/>
      <c r="D34" s="201"/>
      <c r="E34" s="201"/>
      <c r="F34" s="201"/>
      <c r="G34" s="201"/>
      <c r="H34" s="201"/>
    </row>
    <row r="35" spans="1:8" ht="18" x14ac:dyDescent="0.35">
      <c r="A35" s="201"/>
      <c r="B35" s="201"/>
      <c r="C35" s="201"/>
      <c r="D35" s="201"/>
      <c r="E35" s="201"/>
      <c r="F35" s="201"/>
      <c r="G35" s="201"/>
      <c r="H35" s="20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79"/>
  <sheetViews>
    <sheetView workbookViewId="0">
      <selection activeCell="C6" sqref="C6:C16"/>
    </sheetView>
  </sheetViews>
  <sheetFormatPr defaultColWidth="8.77734375" defaultRowHeight="14.4" x14ac:dyDescent="0.3"/>
  <cols>
    <col min="1" max="1" width="5.109375" style="3" customWidth="1"/>
    <col min="2" max="2" width="11.6640625" style="3" customWidth="1"/>
    <col min="3" max="3" width="13.109375" style="3" customWidth="1"/>
    <col min="4" max="4" width="16" style="3" customWidth="1"/>
    <col min="5" max="5" width="17.109375" style="3" customWidth="1"/>
    <col min="6" max="16384" width="8.77734375" style="3"/>
  </cols>
  <sheetData>
    <row r="1" spans="1:5" ht="29.4" customHeight="1" x14ac:dyDescent="0.3"/>
    <row r="2" spans="1:5" ht="15" customHeight="1" x14ac:dyDescent="0.3">
      <c r="A2" s="230" t="s">
        <v>553</v>
      </c>
      <c r="B2" s="231"/>
      <c r="C2" s="231"/>
      <c r="D2" s="231"/>
      <c r="E2" s="231"/>
    </row>
    <row r="3" spans="1:5" ht="30" customHeight="1" x14ac:dyDescent="0.3">
      <c r="A3" s="232"/>
      <c r="B3" s="232"/>
      <c r="C3" s="232"/>
      <c r="D3" s="232"/>
      <c r="E3" s="232"/>
    </row>
    <row r="4" spans="1:5" ht="15" customHeight="1" x14ac:dyDescent="0.3">
      <c r="A4" s="27" t="s">
        <v>99</v>
      </c>
      <c r="B4" s="27" t="s">
        <v>510</v>
      </c>
      <c r="C4" s="27" t="s">
        <v>511</v>
      </c>
      <c r="D4" s="27" t="s">
        <v>512</v>
      </c>
      <c r="E4" s="27" t="s">
        <v>513</v>
      </c>
    </row>
    <row r="5" spans="1:5" ht="15" customHeight="1" x14ac:dyDescent="0.3">
      <c r="A5" s="27">
        <v>1</v>
      </c>
      <c r="B5" s="27" t="s">
        <v>207</v>
      </c>
      <c r="C5" s="96">
        <v>5278.82</v>
      </c>
      <c r="D5" s="186">
        <v>9.57</v>
      </c>
      <c r="E5" s="96">
        <f>C5*D5</f>
        <v>50518.307399999998</v>
      </c>
    </row>
    <row r="6" spans="1:5" ht="15" customHeight="1" x14ac:dyDescent="0.3">
      <c r="A6" s="27">
        <v>2</v>
      </c>
      <c r="B6" s="27" t="s">
        <v>208</v>
      </c>
      <c r="C6" s="96">
        <v>5278.82</v>
      </c>
      <c r="D6" s="27">
        <v>8.0589999999999993</v>
      </c>
      <c r="E6" s="96">
        <f t="shared" ref="E6:E13" si="0">C6*D6</f>
        <v>42542.010379999992</v>
      </c>
    </row>
    <row r="7" spans="1:5" ht="15" customHeight="1" x14ac:dyDescent="0.3">
      <c r="A7" s="27">
        <v>3</v>
      </c>
      <c r="B7" s="27" t="s">
        <v>209</v>
      </c>
      <c r="C7" s="96">
        <v>5278.82</v>
      </c>
      <c r="D7" s="27">
        <v>6.5469999999999997</v>
      </c>
      <c r="E7" s="96">
        <f t="shared" si="0"/>
        <v>34560.434539999995</v>
      </c>
    </row>
    <row r="8" spans="1:5" ht="15" customHeight="1" x14ac:dyDescent="0.3">
      <c r="A8" s="27">
        <v>4</v>
      </c>
      <c r="B8" s="27" t="s">
        <v>509</v>
      </c>
      <c r="C8" s="96">
        <v>5278.82</v>
      </c>
      <c r="D8" s="27">
        <v>4.5330000000000004</v>
      </c>
      <c r="E8" s="96">
        <f t="shared" si="0"/>
        <v>23928.891060000002</v>
      </c>
    </row>
    <row r="9" spans="1:5" ht="18" customHeight="1" x14ac:dyDescent="0.3">
      <c r="A9" s="27">
        <v>5</v>
      </c>
      <c r="B9" s="27" t="s">
        <v>211</v>
      </c>
      <c r="C9" s="96">
        <v>5278.82</v>
      </c>
      <c r="D9" s="27">
        <v>3.528</v>
      </c>
      <c r="E9" s="96">
        <f t="shared" si="0"/>
        <v>18623.676960000001</v>
      </c>
    </row>
    <row r="10" spans="1:5" ht="15" customHeight="1" x14ac:dyDescent="0.3">
      <c r="A10" s="27">
        <v>6</v>
      </c>
      <c r="B10" s="27" t="s">
        <v>212</v>
      </c>
      <c r="C10" s="96">
        <v>5278.82</v>
      </c>
      <c r="D10" s="27">
        <v>0</v>
      </c>
      <c r="E10" s="27">
        <f t="shared" si="0"/>
        <v>0</v>
      </c>
    </row>
    <row r="11" spans="1:5" ht="15" customHeight="1" x14ac:dyDescent="0.3">
      <c r="A11" s="27">
        <v>7</v>
      </c>
      <c r="B11" s="27" t="s">
        <v>213</v>
      </c>
      <c r="C11" s="96">
        <v>5278.82</v>
      </c>
      <c r="D11" s="27">
        <v>0</v>
      </c>
      <c r="E11" s="27">
        <f t="shared" si="0"/>
        <v>0</v>
      </c>
    </row>
    <row r="12" spans="1:5" ht="15" customHeight="1" x14ac:dyDescent="0.3">
      <c r="A12" s="27">
        <v>8</v>
      </c>
      <c r="B12" s="27" t="s">
        <v>214</v>
      </c>
      <c r="C12" s="96">
        <v>5278.82</v>
      </c>
      <c r="D12" s="27">
        <v>0</v>
      </c>
      <c r="E12" s="27">
        <f t="shared" si="0"/>
        <v>0</v>
      </c>
    </row>
    <row r="13" spans="1:5" ht="15" customHeight="1" x14ac:dyDescent="0.3">
      <c r="A13" s="27">
        <v>9</v>
      </c>
      <c r="B13" s="27" t="s">
        <v>215</v>
      </c>
      <c r="C13" s="96">
        <v>5278.82</v>
      </c>
      <c r="D13" s="27">
        <v>0</v>
      </c>
      <c r="E13" s="27">
        <f t="shared" si="0"/>
        <v>0</v>
      </c>
    </row>
    <row r="14" spans="1:5" ht="15" customHeight="1" x14ac:dyDescent="0.3">
      <c r="A14" s="27">
        <v>10</v>
      </c>
      <c r="B14" s="27" t="s">
        <v>216</v>
      </c>
      <c r="C14" s="96">
        <v>5278.82</v>
      </c>
      <c r="D14" s="27">
        <v>3.5249999999999999</v>
      </c>
      <c r="E14" s="96">
        <f>C14*D14</f>
        <v>18607.840499999998</v>
      </c>
    </row>
    <row r="15" spans="1:5" ht="15" customHeight="1" x14ac:dyDescent="0.3">
      <c r="A15" s="27">
        <v>11</v>
      </c>
      <c r="B15" s="27" t="s">
        <v>217</v>
      </c>
      <c r="C15" s="96">
        <v>5278.82</v>
      </c>
      <c r="D15" s="27">
        <v>6.0439999999999996</v>
      </c>
      <c r="E15" s="96">
        <f>C15*D15</f>
        <v>31905.188079999996</v>
      </c>
    </row>
    <row r="16" spans="1:5" ht="15" customHeight="1" x14ac:dyDescent="0.3">
      <c r="A16" s="27">
        <v>12</v>
      </c>
      <c r="B16" s="27" t="s">
        <v>218</v>
      </c>
      <c r="C16" s="96">
        <v>5278.82</v>
      </c>
      <c r="D16" s="27">
        <v>8.5619999999999994</v>
      </c>
      <c r="E16" s="96">
        <f>C16*D16</f>
        <v>45197.256839999995</v>
      </c>
    </row>
    <row r="17" spans="1:5" ht="15" customHeight="1" x14ac:dyDescent="0.3">
      <c r="A17" s="27"/>
      <c r="B17" s="40" t="s">
        <v>7</v>
      </c>
      <c r="C17" s="40"/>
      <c r="D17" s="40">
        <f>SUM(D5:D16)</f>
        <v>50.367999999999995</v>
      </c>
      <c r="E17" s="100">
        <f>SUM(E5:E16)</f>
        <v>265883.60575999995</v>
      </c>
    </row>
    <row r="18" spans="1:5" ht="15" customHeight="1" x14ac:dyDescent="0.3"/>
    <row r="19" spans="1:5" ht="15" customHeight="1" x14ac:dyDescent="0.3">
      <c r="B19" s="3" t="s">
        <v>0</v>
      </c>
      <c r="D19" s="3" t="s">
        <v>227</v>
      </c>
    </row>
    <row r="20" spans="1:5" ht="15" customHeight="1" x14ac:dyDescent="0.3"/>
    <row r="21" spans="1:5" ht="15" customHeight="1" x14ac:dyDescent="0.3"/>
    <row r="22" spans="1:5" ht="15" customHeight="1" x14ac:dyDescent="0.3"/>
    <row r="23" spans="1:5" ht="28.2" customHeight="1" x14ac:dyDescent="0.3"/>
    <row r="24" spans="1:5" ht="15" customHeight="1" x14ac:dyDescent="0.3"/>
    <row r="25" spans="1:5" ht="15" customHeight="1" x14ac:dyDescent="0.3"/>
    <row r="26" spans="1:5" ht="15" customHeight="1" x14ac:dyDescent="0.3"/>
    <row r="27" spans="1:5" ht="15" customHeight="1" x14ac:dyDescent="0.3"/>
    <row r="28" spans="1:5" ht="14.4" customHeight="1" x14ac:dyDescent="0.3"/>
    <row r="29" spans="1:5" ht="15" customHeight="1" x14ac:dyDescent="0.3"/>
    <row r="30" spans="1:5" ht="15" customHeight="1" x14ac:dyDescent="0.3"/>
    <row r="31" spans="1:5" ht="15" customHeight="1" x14ac:dyDescent="0.3"/>
    <row r="32" spans="1:5" ht="15" customHeight="1" x14ac:dyDescent="0.3"/>
    <row r="33" spans="1:5" ht="25.8" customHeight="1" x14ac:dyDescent="0.3"/>
    <row r="34" spans="1:5" ht="15" customHeight="1" x14ac:dyDescent="0.3"/>
    <row r="35" spans="1:5" ht="15" customHeight="1" x14ac:dyDescent="0.3"/>
    <row r="36" spans="1:5" ht="15" customHeight="1" x14ac:dyDescent="0.3"/>
    <row r="37" spans="1:5" ht="27" customHeight="1" x14ac:dyDescent="0.3"/>
    <row r="38" spans="1:5" ht="15" customHeight="1" x14ac:dyDescent="0.3"/>
    <row r="39" spans="1:5" ht="15" customHeight="1" x14ac:dyDescent="0.3"/>
    <row r="40" spans="1:5" ht="15" customHeight="1" x14ac:dyDescent="0.3">
      <c r="A40" s="37"/>
      <c r="B40" s="37"/>
      <c r="C40" s="37"/>
      <c r="D40" s="37"/>
      <c r="E40" s="37"/>
    </row>
    <row r="41" spans="1:5" ht="15" customHeight="1" x14ac:dyDescent="0.3">
      <c r="A41" s="37"/>
      <c r="B41" s="37"/>
      <c r="C41" s="37"/>
      <c r="D41" s="37"/>
      <c r="E41" s="37"/>
    </row>
    <row r="42" spans="1:5" ht="15" customHeight="1" x14ac:dyDescent="0.3">
      <c r="A42" s="37"/>
      <c r="B42" s="37"/>
      <c r="C42" s="37"/>
      <c r="D42" s="37"/>
      <c r="E42" s="37"/>
    </row>
    <row r="43" spans="1:5" ht="15" customHeight="1" x14ac:dyDescent="0.3"/>
    <row r="44" spans="1:5" ht="15" customHeight="1" x14ac:dyDescent="0.3"/>
    <row r="45" spans="1:5" ht="30" customHeight="1" x14ac:dyDescent="0.3"/>
    <row r="46" spans="1:5" ht="15" customHeight="1" x14ac:dyDescent="0.3"/>
    <row r="47" spans="1:5" ht="15" customHeight="1" x14ac:dyDescent="0.3"/>
    <row r="48" spans="1:5" ht="15" customHeight="1" x14ac:dyDescent="0.3"/>
    <row r="49" spans="1:5" s="37" customFormat="1" ht="15" customHeight="1" x14ac:dyDescent="0.3">
      <c r="A49" s="3"/>
      <c r="B49" s="3"/>
      <c r="C49" s="3"/>
      <c r="D49" s="3"/>
      <c r="E49" s="3"/>
    </row>
    <row r="50" spans="1:5" s="37" customFormat="1" ht="15" customHeight="1" x14ac:dyDescent="0.3">
      <c r="A50" s="3"/>
      <c r="B50" s="3"/>
      <c r="C50" s="3"/>
      <c r="D50" s="3"/>
      <c r="E50" s="3"/>
    </row>
    <row r="51" spans="1:5" s="37" customFormat="1" ht="15" customHeight="1" x14ac:dyDescent="0.3">
      <c r="A51" s="3"/>
      <c r="B51" s="3"/>
      <c r="C51" s="3"/>
      <c r="D51" s="3"/>
      <c r="E51" s="3"/>
    </row>
    <row r="52" spans="1:5" s="37" customFormat="1" ht="15" customHeight="1" x14ac:dyDescent="0.3">
      <c r="A52" s="3"/>
      <c r="B52" s="3"/>
      <c r="C52" s="3"/>
      <c r="D52" s="3"/>
      <c r="E52" s="3"/>
    </row>
    <row r="53" spans="1:5" s="37" customFormat="1" ht="15" customHeight="1" x14ac:dyDescent="0.3">
      <c r="A53" s="3"/>
      <c r="B53" s="3"/>
      <c r="C53" s="3"/>
      <c r="D53" s="3"/>
      <c r="E53" s="3"/>
    </row>
    <row r="54" spans="1:5" ht="15" customHeight="1" x14ac:dyDescent="0.3"/>
    <row r="55" spans="1:5" ht="15" customHeight="1" x14ac:dyDescent="0.3"/>
    <row r="56" spans="1:5" ht="15" customHeight="1" x14ac:dyDescent="0.3"/>
    <row r="57" spans="1:5" ht="15" customHeight="1" x14ac:dyDescent="0.3"/>
    <row r="58" spans="1:5" ht="15" customHeight="1" x14ac:dyDescent="0.3"/>
    <row r="59" spans="1:5" ht="30" customHeight="1" x14ac:dyDescent="0.3"/>
    <row r="60" spans="1:5" ht="15" customHeight="1" x14ac:dyDescent="0.3"/>
    <row r="61" spans="1:5" ht="15" customHeight="1" x14ac:dyDescent="0.3"/>
    <row r="62" spans="1:5" ht="15" customHeight="1" x14ac:dyDescent="0.3"/>
    <row r="63" spans="1:5" ht="15" customHeight="1" x14ac:dyDescent="0.3"/>
    <row r="64" spans="1:5" ht="28.2" customHeight="1" x14ac:dyDescent="0.3"/>
    <row r="65" spans="1:5" ht="28.8" customHeight="1" x14ac:dyDescent="0.3"/>
    <row r="66" spans="1:5" ht="15" customHeight="1" x14ac:dyDescent="0.3"/>
    <row r="67" spans="1:5" ht="15" customHeight="1" x14ac:dyDescent="0.3">
      <c r="A67" s="37"/>
      <c r="B67" s="37"/>
      <c r="C67" s="37"/>
      <c r="D67" s="37"/>
      <c r="E67" s="37"/>
    </row>
    <row r="68" spans="1:5" ht="15" customHeight="1" x14ac:dyDescent="0.3">
      <c r="A68" s="37"/>
      <c r="B68" s="37"/>
      <c r="C68" s="37"/>
      <c r="D68" s="37"/>
      <c r="E68" s="37"/>
    </row>
    <row r="69" spans="1:5" ht="15" customHeight="1" x14ac:dyDescent="0.3"/>
    <row r="70" spans="1:5" ht="28.2" customHeight="1" x14ac:dyDescent="0.3"/>
    <row r="71" spans="1:5" ht="15" customHeight="1" x14ac:dyDescent="0.3"/>
    <row r="74" spans="1:5" ht="15" customHeight="1" x14ac:dyDescent="0.3"/>
    <row r="78" spans="1:5" s="37" customFormat="1" ht="15" customHeight="1" x14ac:dyDescent="0.3">
      <c r="A78" s="3"/>
      <c r="B78" s="3"/>
      <c r="C78" s="3"/>
      <c r="D78" s="3"/>
      <c r="E78" s="3"/>
    </row>
    <row r="79" spans="1:5" s="37" customFormat="1" ht="15" customHeight="1" x14ac:dyDescent="0.3">
      <c r="A79" s="3"/>
      <c r="B79" s="3"/>
      <c r="C79" s="3"/>
      <c r="D79" s="3"/>
      <c r="E79" s="3"/>
    </row>
  </sheetData>
  <mergeCells count="1">
    <mergeCell ref="A2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2:I66"/>
  <sheetViews>
    <sheetView topLeftCell="A25" workbookViewId="0">
      <selection activeCell="F33" sqref="F33"/>
    </sheetView>
  </sheetViews>
  <sheetFormatPr defaultRowHeight="14.4" x14ac:dyDescent="0.3"/>
  <cols>
    <col min="1" max="1" width="4.21875" customWidth="1"/>
    <col min="2" max="2" width="15.21875" customWidth="1"/>
    <col min="3" max="3" width="11.5546875" customWidth="1"/>
    <col min="4" max="4" width="13.5546875" customWidth="1"/>
    <col min="5" max="5" width="16.21875" customWidth="1"/>
    <col min="6" max="6" width="13.44140625" customWidth="1"/>
    <col min="7" max="7" width="11.44140625" customWidth="1"/>
  </cols>
  <sheetData>
    <row r="2" spans="2:5" ht="15.6" x14ac:dyDescent="0.3">
      <c r="B2" s="70" t="s">
        <v>614</v>
      </c>
      <c r="C2" s="70"/>
      <c r="D2" s="70"/>
    </row>
    <row r="3" spans="2:5" ht="16.95" customHeight="1" x14ac:dyDescent="0.3"/>
    <row r="4" spans="2:5" x14ac:dyDescent="0.3">
      <c r="B4" s="233" t="s">
        <v>223</v>
      </c>
      <c r="C4" s="233"/>
      <c r="D4" s="233"/>
      <c r="E4" s="233"/>
    </row>
    <row r="5" spans="2:5" x14ac:dyDescent="0.3">
      <c r="B5" s="233" t="s">
        <v>380</v>
      </c>
      <c r="C5" s="233"/>
      <c r="D5" s="233"/>
      <c r="E5" s="233"/>
    </row>
    <row r="6" spans="2:5" x14ac:dyDescent="0.3">
      <c r="B6" s="233" t="s">
        <v>381</v>
      </c>
      <c r="C6" s="233"/>
      <c r="D6" s="233"/>
      <c r="E6" s="233"/>
    </row>
    <row r="7" spans="2:5" x14ac:dyDescent="0.3">
      <c r="E7" t="s">
        <v>546</v>
      </c>
    </row>
    <row r="8" spans="2:5" ht="57.6" customHeight="1" x14ac:dyDescent="0.3">
      <c r="B8" s="41" t="s">
        <v>204</v>
      </c>
      <c r="C8" s="41" t="s">
        <v>205</v>
      </c>
      <c r="D8" s="41" t="s">
        <v>613</v>
      </c>
      <c r="E8" s="41" t="s">
        <v>206</v>
      </c>
    </row>
    <row r="10" spans="2:5" x14ac:dyDescent="0.3">
      <c r="B10" s="2" t="s">
        <v>207</v>
      </c>
      <c r="C10" s="179">
        <v>3.09</v>
      </c>
      <c r="D10" s="199">
        <v>192746.05</v>
      </c>
      <c r="E10" s="42">
        <f>D10*C10</f>
        <v>595585.29449999996</v>
      </c>
    </row>
    <row r="11" spans="2:5" x14ac:dyDescent="0.3">
      <c r="B11" s="2" t="s">
        <v>208</v>
      </c>
      <c r="C11" s="179">
        <v>3.09</v>
      </c>
      <c r="D11" s="199">
        <v>192746.05</v>
      </c>
      <c r="E11" s="42">
        <f t="shared" ref="E11:E21" si="0">D11*C11</f>
        <v>595585.29449999996</v>
      </c>
    </row>
    <row r="12" spans="2:5" x14ac:dyDescent="0.3">
      <c r="B12" s="2" t="s">
        <v>209</v>
      </c>
      <c r="C12" s="179">
        <v>3.09</v>
      </c>
      <c r="D12" s="199">
        <v>192746.05</v>
      </c>
      <c r="E12" s="42">
        <f t="shared" si="0"/>
        <v>595585.29449999996</v>
      </c>
    </row>
    <row r="13" spans="2:5" x14ac:dyDescent="0.3">
      <c r="B13" s="2" t="s">
        <v>210</v>
      </c>
      <c r="C13" s="179">
        <v>3.09</v>
      </c>
      <c r="D13" s="199">
        <v>192746.05</v>
      </c>
      <c r="E13" s="42">
        <f t="shared" si="0"/>
        <v>595585.29449999996</v>
      </c>
    </row>
    <row r="14" spans="2:5" x14ac:dyDescent="0.3">
      <c r="B14" s="2" t="s">
        <v>211</v>
      </c>
      <c r="C14" s="179">
        <v>3.09</v>
      </c>
      <c r="D14" s="199">
        <v>192746.05</v>
      </c>
      <c r="E14" s="42">
        <f t="shared" si="0"/>
        <v>595585.29449999996</v>
      </c>
    </row>
    <row r="15" spans="2:5" x14ac:dyDescent="0.3">
      <c r="B15" s="2" t="s">
        <v>212</v>
      </c>
      <c r="C15" s="179">
        <v>3.09</v>
      </c>
      <c r="D15" s="199">
        <v>192746.05</v>
      </c>
      <c r="E15" s="42">
        <f t="shared" si="0"/>
        <v>595585.29449999996</v>
      </c>
    </row>
    <row r="16" spans="2:5" x14ac:dyDescent="0.3">
      <c r="B16" s="2" t="s">
        <v>213</v>
      </c>
      <c r="C16" s="179">
        <v>3.09</v>
      </c>
      <c r="D16" s="199">
        <v>192746.05</v>
      </c>
      <c r="E16" s="42">
        <f t="shared" si="0"/>
        <v>595585.29449999996</v>
      </c>
    </row>
    <row r="17" spans="1:7" x14ac:dyDescent="0.3">
      <c r="B17" s="2" t="s">
        <v>214</v>
      </c>
      <c r="C17" s="179">
        <v>3.09</v>
      </c>
      <c r="D17" s="199">
        <v>192746.05</v>
      </c>
      <c r="E17" s="42">
        <f t="shared" si="0"/>
        <v>595585.29449999996</v>
      </c>
    </row>
    <row r="18" spans="1:7" x14ac:dyDescent="0.3">
      <c r="B18" s="2" t="s">
        <v>215</v>
      </c>
      <c r="C18" s="179">
        <v>3.09</v>
      </c>
      <c r="D18" s="199">
        <v>192746.05</v>
      </c>
      <c r="E18" s="42">
        <f t="shared" si="0"/>
        <v>595585.29449999996</v>
      </c>
    </row>
    <row r="19" spans="1:7" x14ac:dyDescent="0.3">
      <c r="B19" s="2" t="s">
        <v>216</v>
      </c>
      <c r="C19" s="179">
        <v>3.09</v>
      </c>
      <c r="D19" s="199">
        <v>192746.05</v>
      </c>
      <c r="E19" s="42">
        <f t="shared" si="0"/>
        <v>595585.29449999996</v>
      </c>
    </row>
    <row r="20" spans="1:7" x14ac:dyDescent="0.3">
      <c r="B20" s="2" t="s">
        <v>217</v>
      </c>
      <c r="C20" s="179">
        <v>3.09</v>
      </c>
      <c r="D20" s="199">
        <v>192746.05</v>
      </c>
      <c r="E20" s="42">
        <f t="shared" si="0"/>
        <v>595585.29449999996</v>
      </c>
    </row>
    <row r="21" spans="1:7" x14ac:dyDescent="0.3">
      <c r="B21" s="2" t="s">
        <v>218</v>
      </c>
      <c r="C21" s="179">
        <v>3.09</v>
      </c>
      <c r="D21" s="199">
        <v>192746.05</v>
      </c>
      <c r="E21" s="42">
        <f t="shared" si="0"/>
        <v>595585.29449999996</v>
      </c>
    </row>
    <row r="22" spans="1:7" x14ac:dyDescent="0.3">
      <c r="B22" s="95" t="s">
        <v>219</v>
      </c>
      <c r="C22" s="95" t="s">
        <v>546</v>
      </c>
      <c r="D22" s="183"/>
      <c r="E22" s="43">
        <f>SUM(E10:E21)</f>
        <v>7147023.5339999991</v>
      </c>
    </row>
    <row r="23" spans="1:7" x14ac:dyDescent="0.3">
      <c r="A23" t="s">
        <v>625</v>
      </c>
      <c r="B23" s="95"/>
      <c r="C23" s="95"/>
      <c r="D23" s="95"/>
      <c r="E23" s="43"/>
    </row>
    <row r="24" spans="1:7" x14ac:dyDescent="0.3">
      <c r="B24" s="68"/>
      <c r="C24" s="68"/>
      <c r="D24" s="68"/>
      <c r="E24" s="43"/>
      <c r="G24" s="43"/>
    </row>
    <row r="25" spans="1:7" x14ac:dyDescent="0.3">
      <c r="B25" s="3" t="s">
        <v>225</v>
      </c>
    </row>
    <row r="28" spans="1:7" x14ac:dyDescent="0.3">
      <c r="B28" s="25" t="s">
        <v>382</v>
      </c>
    </row>
    <row r="29" spans="1:7" x14ac:dyDescent="0.3">
      <c r="B29" t="s">
        <v>547</v>
      </c>
    </row>
    <row r="31" spans="1:7" ht="90" customHeight="1" x14ac:dyDescent="0.3">
      <c r="B31" s="2" t="s">
        <v>204</v>
      </c>
      <c r="C31" s="41" t="s">
        <v>403</v>
      </c>
      <c r="D31" s="41" t="s">
        <v>220</v>
      </c>
      <c r="E31" s="41" t="s">
        <v>221</v>
      </c>
      <c r="F31" s="41" t="s">
        <v>499</v>
      </c>
      <c r="G31" s="41" t="s">
        <v>222</v>
      </c>
    </row>
    <row r="32" spans="1:7" x14ac:dyDescent="0.3">
      <c r="B32" s="2" t="s">
        <v>546</v>
      </c>
      <c r="C32" s="2">
        <v>19751.34</v>
      </c>
      <c r="D32" s="179">
        <v>7.82</v>
      </c>
      <c r="E32" s="42">
        <f>C32*D32%</f>
        <v>1544.5547880000001</v>
      </c>
      <c r="F32" s="2">
        <v>1819.39</v>
      </c>
      <c r="G32" s="129">
        <f>E32*F32</f>
        <v>2810147.5357393203</v>
      </c>
    </row>
    <row r="33" spans="2:7" x14ac:dyDescent="0.3">
      <c r="B33" s="1"/>
      <c r="C33" s="1"/>
      <c r="D33" s="1"/>
      <c r="E33" s="130"/>
      <c r="F33" s="1"/>
      <c r="G33" s="131"/>
    </row>
    <row r="34" spans="2:7" x14ac:dyDescent="0.3">
      <c r="B34" s="1"/>
      <c r="C34" s="1"/>
      <c r="D34" s="1"/>
      <c r="E34" s="130"/>
      <c r="F34" s="1"/>
      <c r="G34" s="131"/>
    </row>
    <row r="35" spans="2:7" x14ac:dyDescent="0.3">
      <c r="B35" s="3"/>
    </row>
    <row r="36" spans="2:7" x14ac:dyDescent="0.3">
      <c r="B36" s="25" t="s">
        <v>548</v>
      </c>
      <c r="C36" s="25"/>
      <c r="E36" s="43">
        <f>E22+G32</f>
        <v>9957171.0697393194</v>
      </c>
    </row>
    <row r="37" spans="2:7" x14ac:dyDescent="0.3">
      <c r="B37" s="25"/>
      <c r="C37" s="25"/>
      <c r="E37" s="43"/>
    </row>
    <row r="38" spans="2:7" x14ac:dyDescent="0.3">
      <c r="B38" s="25"/>
      <c r="C38" s="25"/>
      <c r="E38" s="43"/>
    </row>
    <row r="39" spans="2:7" x14ac:dyDescent="0.3">
      <c r="B39" s="3" t="s">
        <v>225</v>
      </c>
    </row>
    <row r="40" spans="2:7" x14ac:dyDescent="0.3">
      <c r="B40" s="3"/>
    </row>
    <row r="43" spans="2:7" x14ac:dyDescent="0.3">
      <c r="B43" s="25" t="s">
        <v>382</v>
      </c>
    </row>
    <row r="44" spans="2:7" x14ac:dyDescent="0.3">
      <c r="B44" t="s">
        <v>547</v>
      </c>
    </row>
    <row r="46" spans="2:7" ht="86.4" x14ac:dyDescent="0.3">
      <c r="B46" s="2" t="s">
        <v>204</v>
      </c>
      <c r="C46" s="41" t="s">
        <v>403</v>
      </c>
      <c r="D46" s="180" t="s">
        <v>220</v>
      </c>
      <c r="E46" s="41" t="s">
        <v>221</v>
      </c>
      <c r="F46" s="41" t="s">
        <v>626</v>
      </c>
      <c r="G46" s="41" t="s">
        <v>222</v>
      </c>
    </row>
    <row r="47" spans="2:7" x14ac:dyDescent="0.3">
      <c r="B47" s="2" t="s">
        <v>207</v>
      </c>
      <c r="C47" s="154">
        <v>2307.4901046320315</v>
      </c>
      <c r="D47" s="180">
        <v>7.82</v>
      </c>
      <c r="E47" s="138">
        <f>C47*D47%</f>
        <v>180.44572618222489</v>
      </c>
      <c r="F47" s="182">
        <v>1819.39</v>
      </c>
      <c r="G47" s="139">
        <f>E47*F47</f>
        <v>328301.14975867816</v>
      </c>
    </row>
    <row r="48" spans="2:7" x14ac:dyDescent="0.3">
      <c r="B48" s="2" t="s">
        <v>208</v>
      </c>
      <c r="C48" s="154">
        <v>2060.4073230978847</v>
      </c>
      <c r="D48" s="180">
        <v>7.82</v>
      </c>
      <c r="E48" s="138">
        <f t="shared" ref="E48:E58" si="1">C48*D48%</f>
        <v>161.12385266625461</v>
      </c>
      <c r="F48" s="182">
        <v>1819.39</v>
      </c>
      <c r="G48" s="139">
        <f t="shared" ref="G48:G58" si="2">E48*F48</f>
        <v>293147.12630245701</v>
      </c>
    </row>
    <row r="49" spans="2:9" x14ac:dyDescent="0.3">
      <c r="B49" s="2" t="s">
        <v>209</v>
      </c>
      <c r="C49" s="154">
        <v>1850.0525304159401</v>
      </c>
      <c r="D49" s="180">
        <v>7.82</v>
      </c>
      <c r="E49" s="138">
        <f t="shared" si="1"/>
        <v>144.67410787852651</v>
      </c>
      <c r="F49" s="182">
        <v>1819.39</v>
      </c>
      <c r="G49" s="139">
        <f t="shared" si="2"/>
        <v>263218.62513311236</v>
      </c>
    </row>
    <row r="50" spans="2:9" x14ac:dyDescent="0.3">
      <c r="B50" s="2" t="s">
        <v>210</v>
      </c>
      <c r="C50" s="154">
        <v>1599.5006293623012</v>
      </c>
      <c r="D50" s="180">
        <v>7.82</v>
      </c>
      <c r="E50" s="138">
        <f t="shared" si="1"/>
        <v>125.08094921613197</v>
      </c>
      <c r="F50" s="182">
        <v>1819.39</v>
      </c>
      <c r="G50" s="139">
        <f t="shared" si="2"/>
        <v>227571.02819433835</v>
      </c>
    </row>
    <row r="51" spans="2:9" x14ac:dyDescent="0.3">
      <c r="B51" s="2" t="s">
        <v>211</v>
      </c>
      <c r="C51" s="154">
        <v>1451.9973467626742</v>
      </c>
      <c r="D51" s="180">
        <v>7.82</v>
      </c>
      <c r="E51" s="138">
        <f t="shared" si="1"/>
        <v>113.54619251684113</v>
      </c>
      <c r="F51" s="182">
        <v>1819.39</v>
      </c>
      <c r="G51" s="139">
        <f t="shared" si="2"/>
        <v>206584.80720321561</v>
      </c>
    </row>
    <row r="52" spans="2:9" x14ac:dyDescent="0.3">
      <c r="B52" s="2" t="s">
        <v>212</v>
      </c>
      <c r="C52" s="154">
        <v>1305.2825004174767</v>
      </c>
      <c r="D52" s="180">
        <v>7.82</v>
      </c>
      <c r="E52" s="138">
        <f t="shared" si="1"/>
        <v>102.07309153264669</v>
      </c>
      <c r="F52" s="182">
        <v>1819.39</v>
      </c>
      <c r="G52" s="139">
        <f t="shared" si="2"/>
        <v>185710.76200358206</v>
      </c>
    </row>
    <row r="53" spans="2:9" x14ac:dyDescent="0.3">
      <c r="B53" s="2" t="s">
        <v>213</v>
      </c>
      <c r="C53" s="154">
        <v>1011.7871047058799</v>
      </c>
      <c r="D53" s="180">
        <v>7.82</v>
      </c>
      <c r="E53" s="138">
        <f t="shared" si="1"/>
        <v>79.12175158799981</v>
      </c>
      <c r="F53" s="182">
        <v>1819.39</v>
      </c>
      <c r="G53" s="139">
        <f t="shared" si="2"/>
        <v>143953.32362169097</v>
      </c>
    </row>
    <row r="54" spans="2:9" x14ac:dyDescent="0.3">
      <c r="B54" s="2" t="s">
        <v>214</v>
      </c>
      <c r="C54" s="154">
        <v>1135.8344087362125</v>
      </c>
      <c r="D54" s="180">
        <v>7.82</v>
      </c>
      <c r="E54" s="138">
        <f t="shared" si="1"/>
        <v>88.822250763171823</v>
      </c>
      <c r="F54" s="182">
        <v>1819.39</v>
      </c>
      <c r="G54" s="139">
        <f t="shared" si="2"/>
        <v>161602.31481600719</v>
      </c>
    </row>
    <row r="55" spans="2:9" x14ac:dyDescent="0.3">
      <c r="B55" s="2" t="s">
        <v>215</v>
      </c>
      <c r="C55" s="154">
        <v>1148.0814518883597</v>
      </c>
      <c r="D55" s="180">
        <v>7.82</v>
      </c>
      <c r="E55" s="138">
        <f t="shared" si="1"/>
        <v>89.779969537669729</v>
      </c>
      <c r="F55" s="182">
        <v>1819.39</v>
      </c>
      <c r="G55" s="139">
        <f t="shared" si="2"/>
        <v>163344.77877714095</v>
      </c>
    </row>
    <row r="56" spans="2:9" x14ac:dyDescent="0.3">
      <c r="B56" s="2" t="s">
        <v>216</v>
      </c>
      <c r="C56" s="154">
        <v>1532.1418920254916</v>
      </c>
      <c r="D56" s="180">
        <v>7.82</v>
      </c>
      <c r="E56" s="138">
        <f t="shared" si="1"/>
        <v>119.81349595639345</v>
      </c>
      <c r="F56" s="182">
        <v>1819.39</v>
      </c>
      <c r="G56" s="139">
        <f t="shared" si="2"/>
        <v>217987.4764081027</v>
      </c>
    </row>
    <row r="57" spans="2:9" x14ac:dyDescent="0.3">
      <c r="B57" s="2" t="s">
        <v>217</v>
      </c>
      <c r="C57" s="154">
        <v>1946.0052225800805</v>
      </c>
      <c r="D57" s="180">
        <v>7.82</v>
      </c>
      <c r="E57" s="138">
        <f t="shared" si="1"/>
        <v>152.1776084057623</v>
      </c>
      <c r="F57" s="182">
        <v>1819.39</v>
      </c>
      <c r="G57" s="139">
        <f t="shared" si="2"/>
        <v>276870.41895735991</v>
      </c>
    </row>
    <row r="58" spans="2:9" x14ac:dyDescent="0.3">
      <c r="B58" s="2" t="s">
        <v>218</v>
      </c>
      <c r="C58" s="154">
        <v>2402.7594853756659</v>
      </c>
      <c r="D58" s="180">
        <v>7.82</v>
      </c>
      <c r="E58" s="138">
        <f t="shared" si="1"/>
        <v>187.89579175637709</v>
      </c>
      <c r="F58" s="182">
        <v>1819.39</v>
      </c>
      <c r="G58" s="139">
        <f t="shared" si="2"/>
        <v>341855.72456363495</v>
      </c>
    </row>
    <row r="59" spans="2:9" x14ac:dyDescent="0.3">
      <c r="B59" s="2" t="s">
        <v>546</v>
      </c>
      <c r="C59" s="129">
        <f>SUM(C47:C58)</f>
        <v>19751.34</v>
      </c>
      <c r="D59" s="181">
        <v>7.82</v>
      </c>
      <c r="E59" s="129">
        <f>C59*D59%</f>
        <v>1544.5547880000001</v>
      </c>
      <c r="F59" s="38">
        <v>1819.39</v>
      </c>
      <c r="G59" s="129">
        <f>E59*F59</f>
        <v>2810147.5357393203</v>
      </c>
      <c r="I59" s="25"/>
    </row>
    <row r="60" spans="2:9" x14ac:dyDescent="0.3">
      <c r="B60" s="1"/>
      <c r="C60" s="1"/>
      <c r="D60" s="1"/>
      <c r="E60" s="130"/>
      <c r="F60" s="1"/>
      <c r="G60" s="131"/>
    </row>
    <row r="61" spans="2:9" x14ac:dyDescent="0.3">
      <c r="B61" s="1"/>
      <c r="C61" s="1"/>
      <c r="D61" s="1"/>
      <c r="E61" s="130"/>
      <c r="F61" s="1"/>
      <c r="G61" s="131"/>
    </row>
    <row r="62" spans="2:9" x14ac:dyDescent="0.3">
      <c r="B62" s="3"/>
    </row>
    <row r="63" spans="2:9" x14ac:dyDescent="0.3">
      <c r="B63" s="25" t="s">
        <v>548</v>
      </c>
      <c r="C63" s="25"/>
      <c r="E63" s="43">
        <f>E22+G59</f>
        <v>9957171.0697393194</v>
      </c>
    </row>
    <row r="64" spans="2:9" x14ac:dyDescent="0.3">
      <c r="B64" s="25"/>
      <c r="C64" s="25"/>
      <c r="E64" s="43"/>
    </row>
    <row r="65" spans="2:5" x14ac:dyDescent="0.3">
      <c r="B65" s="25"/>
      <c r="C65" s="25"/>
      <c r="E65" s="43"/>
    </row>
    <row r="66" spans="2:5" x14ac:dyDescent="0.3">
      <c r="B66" s="3" t="s">
        <v>225</v>
      </c>
    </row>
  </sheetData>
  <mergeCells count="3">
    <mergeCell ref="B4:E4"/>
    <mergeCell ref="B5:E5"/>
    <mergeCell ref="B6:E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3"/>
  <sheetViews>
    <sheetView workbookViewId="0">
      <selection activeCell="E19" sqref="E19"/>
    </sheetView>
  </sheetViews>
  <sheetFormatPr defaultRowHeight="14.4" x14ac:dyDescent="0.3"/>
  <cols>
    <col min="1" max="1" width="5.21875" customWidth="1"/>
    <col min="2" max="2" width="10.77734375" customWidth="1"/>
    <col min="3" max="3" width="14.77734375" customWidth="1"/>
    <col min="4" max="5" width="12" customWidth="1"/>
    <col min="6" max="7" width="12.88671875" customWidth="1"/>
    <col min="8" max="8" width="11.6640625" customWidth="1"/>
    <col min="9" max="10" width="13.44140625" customWidth="1"/>
  </cols>
  <sheetData>
    <row r="1" spans="1:10" x14ac:dyDescent="0.3">
      <c r="F1" s="166"/>
    </row>
    <row r="4" spans="1:10" ht="14.4" customHeight="1" x14ac:dyDescent="0.35">
      <c r="B4" s="71" t="s">
        <v>492</v>
      </c>
      <c r="C4" s="71"/>
      <c r="D4" s="71"/>
      <c r="E4" s="71"/>
      <c r="F4" s="71"/>
      <c r="H4" s="71"/>
    </row>
    <row r="5" spans="1:10" x14ac:dyDescent="0.3">
      <c r="C5" t="s">
        <v>495</v>
      </c>
      <c r="E5" s="25" t="s">
        <v>517</v>
      </c>
      <c r="H5" t="s">
        <v>101</v>
      </c>
    </row>
    <row r="6" spans="1:10" x14ac:dyDescent="0.3">
      <c r="A6" s="2"/>
      <c r="B6" s="234" t="s">
        <v>418</v>
      </c>
      <c r="C6" s="235"/>
      <c r="D6" s="236" t="s">
        <v>170</v>
      </c>
      <c r="E6" s="236"/>
      <c r="F6" s="236"/>
      <c r="G6" s="236"/>
      <c r="H6" s="236"/>
      <c r="I6" s="236" t="s">
        <v>87</v>
      </c>
      <c r="J6" s="237" t="s">
        <v>496</v>
      </c>
    </row>
    <row r="7" spans="1:10" ht="43.2" x14ac:dyDescent="0.3">
      <c r="A7" s="2"/>
      <c r="B7" s="2" t="s">
        <v>491</v>
      </c>
      <c r="C7" s="2" t="s">
        <v>416</v>
      </c>
      <c r="D7" s="41" t="s">
        <v>421</v>
      </c>
      <c r="E7" s="41" t="s">
        <v>422</v>
      </c>
      <c r="F7" s="41" t="s">
        <v>493</v>
      </c>
      <c r="G7" s="41" t="s">
        <v>424</v>
      </c>
      <c r="H7" s="41" t="s">
        <v>494</v>
      </c>
      <c r="I7" s="236"/>
      <c r="J7" s="237"/>
    </row>
    <row r="8" spans="1:10" x14ac:dyDescent="0.3">
      <c r="A8" s="2">
        <v>1</v>
      </c>
      <c r="B8" s="2">
        <v>175600</v>
      </c>
      <c r="C8" s="42">
        <v>960509.85</v>
      </c>
      <c r="D8" s="2">
        <v>3.69</v>
      </c>
      <c r="E8" s="2">
        <v>173164.15</v>
      </c>
      <c r="F8" s="42">
        <f t="shared" ref="F8:F13" si="0">D8*E8</f>
        <v>638975.71349999995</v>
      </c>
      <c r="G8" s="2">
        <v>1831.06</v>
      </c>
      <c r="H8" s="42">
        <f>B8*G8/1000</f>
        <v>321534.136</v>
      </c>
      <c r="I8" s="42">
        <f>F8+H8</f>
        <v>960509.84950000001</v>
      </c>
      <c r="J8" s="42">
        <f>I8*1.2</f>
        <v>1152611.8193999999</v>
      </c>
    </row>
    <row r="9" spans="1:10" x14ac:dyDescent="0.3">
      <c r="A9" s="2">
        <v>2</v>
      </c>
      <c r="B9" s="2">
        <v>156797</v>
      </c>
      <c r="C9" s="2">
        <v>1117750.6499999999</v>
      </c>
      <c r="D9" s="2">
        <v>3.69</v>
      </c>
      <c r="E9" s="2">
        <v>173164.15</v>
      </c>
      <c r="F9" s="42">
        <f t="shared" si="0"/>
        <v>638975.71349999995</v>
      </c>
      <c r="G9" s="42">
        <v>3053.47</v>
      </c>
      <c r="H9" s="42">
        <f t="shared" ref="H9:H19" si="1">B9*G9/1000</f>
        <v>478774.93558999995</v>
      </c>
      <c r="I9" s="42">
        <f>F9+H9</f>
        <v>1117750.64909</v>
      </c>
      <c r="J9" s="42">
        <f t="shared" ref="J9:J19" si="2">I9*1.2</f>
        <v>1341300.7789079999</v>
      </c>
    </row>
    <row r="10" spans="1:10" x14ac:dyDescent="0.3">
      <c r="A10" s="2">
        <v>3</v>
      </c>
      <c r="B10" s="2">
        <v>140789</v>
      </c>
      <c r="C10" s="2">
        <v>849790.34</v>
      </c>
      <c r="D10" s="2">
        <v>3.69</v>
      </c>
      <c r="E10" s="2">
        <v>173164.15</v>
      </c>
      <c r="F10" s="42">
        <f t="shared" si="0"/>
        <v>638975.71349999995</v>
      </c>
      <c r="G10" s="2">
        <v>1497.38</v>
      </c>
      <c r="H10" s="42">
        <f t="shared" si="1"/>
        <v>210814.63282000003</v>
      </c>
      <c r="I10" s="42">
        <v>849790.34</v>
      </c>
      <c r="J10" s="42">
        <f t="shared" si="2"/>
        <v>1019748.4079999999</v>
      </c>
    </row>
    <row r="11" spans="1:10" x14ac:dyDescent="0.3">
      <c r="A11" s="2">
        <v>4</v>
      </c>
      <c r="B11" s="2">
        <v>121722</v>
      </c>
      <c r="C11" s="42">
        <v>975078.15</v>
      </c>
      <c r="D11" s="2">
        <v>3.69</v>
      </c>
      <c r="E11" s="2">
        <v>173164.15</v>
      </c>
      <c r="F11" s="42">
        <f t="shared" si="0"/>
        <v>638975.71349999995</v>
      </c>
      <c r="G11" s="2">
        <v>2761.23</v>
      </c>
      <c r="H11" s="42">
        <f t="shared" si="1"/>
        <v>336102.43806000001</v>
      </c>
      <c r="I11" s="42">
        <f t="shared" ref="I11:I19" si="3">F11+H11</f>
        <v>975078.15155999991</v>
      </c>
      <c r="J11" s="42">
        <f t="shared" si="2"/>
        <v>1170093.7818719998</v>
      </c>
    </row>
    <row r="12" spans="1:10" x14ac:dyDescent="0.3">
      <c r="A12" s="2">
        <v>5</v>
      </c>
      <c r="B12" s="2">
        <v>110497</v>
      </c>
      <c r="C12" s="42">
        <v>795347.75</v>
      </c>
      <c r="D12" s="2">
        <v>3.69</v>
      </c>
      <c r="E12" s="2">
        <v>173164.15</v>
      </c>
      <c r="F12" s="42">
        <f t="shared" si="0"/>
        <v>638975.71349999995</v>
      </c>
      <c r="G12" s="2">
        <v>1415.17</v>
      </c>
      <c r="H12" s="42">
        <f t="shared" si="1"/>
        <v>156372.03949</v>
      </c>
      <c r="I12" s="42">
        <f t="shared" si="3"/>
        <v>795347.75298999995</v>
      </c>
      <c r="J12" s="42">
        <f t="shared" si="2"/>
        <v>954417.30358799989</v>
      </c>
    </row>
    <row r="13" spans="1:10" x14ac:dyDescent="0.3">
      <c r="A13" s="2">
        <v>6</v>
      </c>
      <c r="B13" s="2">
        <v>99332</v>
      </c>
      <c r="C13" s="42">
        <v>774740.7</v>
      </c>
      <c r="D13" s="2">
        <v>3.69</v>
      </c>
      <c r="E13" s="2">
        <v>173164.15</v>
      </c>
      <c r="F13" s="42">
        <f t="shared" si="0"/>
        <v>638975.71349999995</v>
      </c>
      <c r="G13" s="2">
        <v>1366.78</v>
      </c>
      <c r="H13" s="42">
        <f t="shared" si="1"/>
        <v>135764.99096</v>
      </c>
      <c r="I13" s="42">
        <f t="shared" si="3"/>
        <v>774740.70445999992</v>
      </c>
      <c r="J13" s="42">
        <f>I13*1.2-0.01</f>
        <v>929688.83535199985</v>
      </c>
    </row>
    <row r="14" spans="1:10" x14ac:dyDescent="0.3">
      <c r="A14" s="2">
        <v>7</v>
      </c>
      <c r="B14" s="27">
        <v>76997</v>
      </c>
      <c r="C14" s="42">
        <v>756442.67</v>
      </c>
      <c r="D14" s="2">
        <v>3.69</v>
      </c>
      <c r="E14" s="2">
        <v>182697.68</v>
      </c>
      <c r="F14" s="42">
        <f t="shared" ref="F14:F19" si="4">D14*E14</f>
        <v>674154.43920000002</v>
      </c>
      <c r="G14" s="42">
        <v>1068.72</v>
      </c>
      <c r="H14" s="42">
        <f t="shared" si="1"/>
        <v>82288.233840000001</v>
      </c>
      <c r="I14" s="42">
        <f t="shared" si="3"/>
        <v>756442.67304000002</v>
      </c>
      <c r="J14" s="42">
        <f>I14*1.2-0.01</f>
        <v>907731.19764799997</v>
      </c>
    </row>
    <row r="15" spans="1:10" x14ac:dyDescent="0.3">
      <c r="A15" s="2">
        <v>8</v>
      </c>
      <c r="B15" s="2">
        <v>86437</v>
      </c>
      <c r="C15" s="42">
        <v>786498.34</v>
      </c>
      <c r="D15" s="2">
        <v>3.69</v>
      </c>
      <c r="E15" s="2">
        <v>182697.68</v>
      </c>
      <c r="F15" s="42">
        <f t="shared" si="4"/>
        <v>674154.43920000002</v>
      </c>
      <c r="G15" s="42">
        <v>1299.72</v>
      </c>
      <c r="H15" s="42">
        <f t="shared" si="1"/>
        <v>112343.89764</v>
      </c>
      <c r="I15" s="42">
        <f t="shared" si="3"/>
        <v>786498.33684</v>
      </c>
      <c r="J15" s="42">
        <f>I15*1.2+0.01</f>
        <v>943798.01420799992</v>
      </c>
    </row>
    <row r="16" spans="1:10" x14ac:dyDescent="0.3">
      <c r="A16" s="2">
        <v>9</v>
      </c>
      <c r="B16" s="2">
        <v>87369</v>
      </c>
      <c r="C16" s="42">
        <v>798306.66</v>
      </c>
      <c r="D16" s="2">
        <v>3.69</v>
      </c>
      <c r="E16" s="2">
        <v>182697.68</v>
      </c>
      <c r="F16" s="42">
        <f t="shared" si="4"/>
        <v>674154.43920000002</v>
      </c>
      <c r="G16" s="42">
        <v>1421.01</v>
      </c>
      <c r="H16" s="42">
        <f t="shared" si="1"/>
        <v>124152.22269</v>
      </c>
      <c r="I16" s="42">
        <f t="shared" si="3"/>
        <v>798306.66188999999</v>
      </c>
      <c r="J16" s="42">
        <f t="shared" si="2"/>
        <v>957967.99426799989</v>
      </c>
    </row>
    <row r="17" spans="1:10" x14ac:dyDescent="0.3">
      <c r="A17" s="132">
        <v>10</v>
      </c>
      <c r="B17" s="2">
        <v>116596</v>
      </c>
      <c r="C17" s="2">
        <v>781044.99</v>
      </c>
      <c r="D17" s="2">
        <v>3.69</v>
      </c>
      <c r="E17" s="2">
        <v>182697.68</v>
      </c>
      <c r="F17" s="42">
        <f t="shared" si="4"/>
        <v>674154.43920000002</v>
      </c>
      <c r="G17" s="42">
        <v>916.76</v>
      </c>
      <c r="H17" s="42">
        <f t="shared" si="1"/>
        <v>106890.54896</v>
      </c>
      <c r="I17" s="42">
        <f t="shared" si="3"/>
        <v>781044.98816000007</v>
      </c>
      <c r="J17" s="42">
        <f t="shared" si="2"/>
        <v>937253.98579200008</v>
      </c>
    </row>
    <row r="18" spans="1:10" x14ac:dyDescent="0.3">
      <c r="A18" s="132">
        <v>11</v>
      </c>
      <c r="B18" s="2">
        <v>148091</v>
      </c>
      <c r="C18" s="2">
        <v>907908.88</v>
      </c>
      <c r="D18" s="2">
        <v>3.69</v>
      </c>
      <c r="E18" s="2">
        <v>182697.68</v>
      </c>
      <c r="F18" s="42">
        <f t="shared" si="4"/>
        <v>674154.43920000002</v>
      </c>
      <c r="G18" s="42">
        <v>1578.45</v>
      </c>
      <c r="H18" s="42">
        <f t="shared" si="1"/>
        <v>233754.23895000003</v>
      </c>
      <c r="I18" s="42">
        <f t="shared" si="3"/>
        <v>907908.67815000005</v>
      </c>
      <c r="J18" s="42">
        <f>I18*1.2+0.01</f>
        <v>1089490.4237800001</v>
      </c>
    </row>
    <row r="19" spans="1:10" x14ac:dyDescent="0.3">
      <c r="A19" s="132">
        <v>12</v>
      </c>
      <c r="B19" s="2">
        <v>182850</v>
      </c>
      <c r="C19" s="2">
        <v>967482.41</v>
      </c>
      <c r="D19" s="2">
        <v>3.69</v>
      </c>
      <c r="E19" s="2">
        <v>182697.68</v>
      </c>
      <c r="F19" s="42">
        <f t="shared" si="4"/>
        <v>674154.43920000002</v>
      </c>
      <c r="G19" s="42">
        <v>1604.2</v>
      </c>
      <c r="H19" s="42">
        <f t="shared" si="1"/>
        <v>293327.96999999997</v>
      </c>
      <c r="I19" s="42">
        <f t="shared" si="3"/>
        <v>967482.40919999999</v>
      </c>
      <c r="J19" s="42">
        <f t="shared" si="2"/>
        <v>1160978.8910399999</v>
      </c>
    </row>
    <row r="20" spans="1:10" x14ac:dyDescent="0.3">
      <c r="A20" s="2" t="s">
        <v>265</v>
      </c>
      <c r="B20" s="38">
        <f>SUM(B8:B19)</f>
        <v>1503077</v>
      </c>
      <c r="C20" s="38">
        <f>SUM(C8:C19)</f>
        <v>10470901.390000001</v>
      </c>
      <c r="D20" s="2"/>
      <c r="E20" s="2"/>
      <c r="F20" s="129">
        <f>SUM(F8:F19)</f>
        <v>7878780.9161999999</v>
      </c>
      <c r="G20" s="129">
        <f>H20/B20*1000</f>
        <v>1724.5425783243309</v>
      </c>
      <c r="H20" s="129">
        <f>SUM(H8:H19)</f>
        <v>2592120.2850000001</v>
      </c>
      <c r="I20" s="129">
        <f>SUM(I8:I19)</f>
        <v>10470901.194879999</v>
      </c>
      <c r="J20" s="129">
        <f>SUM(J8:J19)</f>
        <v>12565081.433855997</v>
      </c>
    </row>
    <row r="23" spans="1:10" x14ac:dyDescent="0.3">
      <c r="A23" t="s">
        <v>0</v>
      </c>
      <c r="F23" t="s">
        <v>227</v>
      </c>
    </row>
  </sheetData>
  <mergeCells count="4">
    <mergeCell ref="B6:C6"/>
    <mergeCell ref="D6:H6"/>
    <mergeCell ref="I6:I7"/>
    <mergeCell ref="J6:J7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6"/>
  <sheetViews>
    <sheetView topLeftCell="A7" workbookViewId="0">
      <selection activeCell="T20" sqref="T20"/>
    </sheetView>
  </sheetViews>
  <sheetFormatPr defaultRowHeight="14.4" x14ac:dyDescent="0.3"/>
  <cols>
    <col min="1" max="1" width="5.109375" customWidth="1"/>
    <col min="2" max="2" width="16.109375" customWidth="1"/>
    <col min="3" max="3" width="14.77734375" customWidth="1"/>
    <col min="4" max="4" width="13.5546875" customWidth="1"/>
    <col min="5" max="5" width="8.6640625" customWidth="1"/>
    <col min="6" max="6" width="0.44140625" hidden="1" customWidth="1"/>
    <col min="7" max="7" width="16.109375" customWidth="1"/>
    <col min="8" max="8" width="12" customWidth="1"/>
    <col min="9" max="9" width="8.109375" customWidth="1"/>
    <col min="10" max="10" width="12.5546875" customWidth="1"/>
    <col min="11" max="11" width="10.44140625" customWidth="1"/>
    <col min="12" max="12" width="13.5546875" customWidth="1"/>
  </cols>
  <sheetData>
    <row r="1" spans="1:12" ht="18" x14ac:dyDescent="0.35">
      <c r="D1" s="71" t="s">
        <v>437</v>
      </c>
    </row>
    <row r="2" spans="1:12" x14ac:dyDescent="0.3">
      <c r="A2" s="238" t="s">
        <v>438</v>
      </c>
      <c r="B2" s="238"/>
      <c r="C2" s="238"/>
      <c r="D2" s="238"/>
      <c r="E2" s="238"/>
      <c r="F2" s="238"/>
    </row>
    <row r="3" spans="1:12" x14ac:dyDescent="0.3">
      <c r="A3" s="238" t="s">
        <v>518</v>
      </c>
      <c r="B3" s="238"/>
      <c r="C3" s="238"/>
      <c r="D3" s="238"/>
      <c r="E3" s="238"/>
      <c r="F3" s="238"/>
    </row>
    <row r="4" spans="1:12" x14ac:dyDescent="0.3">
      <c r="A4" s="95"/>
      <c r="B4" s="95"/>
      <c r="C4" s="95"/>
      <c r="D4" s="95"/>
      <c r="E4" s="95"/>
      <c r="F4" s="95"/>
      <c r="G4" s="95" t="s">
        <v>439</v>
      </c>
      <c r="H4" s="95"/>
      <c r="I4" s="95"/>
      <c r="J4" s="95"/>
      <c r="K4" s="95"/>
      <c r="L4" s="95"/>
    </row>
    <row r="5" spans="1:12" x14ac:dyDescent="0.3">
      <c r="A5" s="95"/>
      <c r="B5" s="95"/>
      <c r="C5" s="95"/>
      <c r="D5" s="95"/>
      <c r="E5" s="95"/>
      <c r="F5" s="95"/>
      <c r="G5" s="95" t="s">
        <v>440</v>
      </c>
      <c r="H5" s="95"/>
      <c r="I5" s="95"/>
      <c r="J5" s="95"/>
      <c r="K5" s="95"/>
      <c r="L5" s="95"/>
    </row>
    <row r="6" spans="1:12" x14ac:dyDescent="0.3">
      <c r="A6" s="142"/>
      <c r="B6" s="142"/>
      <c r="C6" s="142"/>
      <c r="D6" s="142"/>
      <c r="E6" s="142"/>
      <c r="F6" s="142"/>
      <c r="G6" s="142" t="s">
        <v>441</v>
      </c>
      <c r="H6" s="142"/>
      <c r="I6" s="142"/>
      <c r="J6" s="142"/>
      <c r="K6" s="142"/>
      <c r="L6" s="142"/>
    </row>
    <row r="7" spans="1:12" x14ac:dyDescent="0.3">
      <c r="A7" s="25"/>
    </row>
    <row r="8" spans="1:12" ht="100.2" customHeight="1" x14ac:dyDescent="0.3">
      <c r="A8" s="2" t="s">
        <v>442</v>
      </c>
      <c r="B8" s="41" t="s">
        <v>443</v>
      </c>
      <c r="C8" s="41" t="s">
        <v>444</v>
      </c>
      <c r="D8" s="41" t="s">
        <v>445</v>
      </c>
      <c r="E8" s="41" t="s">
        <v>414</v>
      </c>
      <c r="F8" s="41"/>
      <c r="G8" s="41" t="s">
        <v>446</v>
      </c>
      <c r="H8" s="41" t="s">
        <v>445</v>
      </c>
      <c r="I8" s="41" t="s">
        <v>415</v>
      </c>
      <c r="J8" s="41" t="s">
        <v>447</v>
      </c>
      <c r="K8" s="2" t="s">
        <v>417</v>
      </c>
      <c r="L8" s="41" t="s">
        <v>448</v>
      </c>
    </row>
    <row r="9" spans="1:12" x14ac:dyDescent="0.3">
      <c r="A9" s="2">
        <v>1</v>
      </c>
      <c r="B9" s="2">
        <v>1651913</v>
      </c>
      <c r="C9" s="2">
        <v>1750000</v>
      </c>
      <c r="D9" s="42">
        <f>B9*E9</f>
        <v>3827119.0001400001</v>
      </c>
      <c r="E9" s="136">
        <v>2.3167800000000001</v>
      </c>
      <c r="F9" s="42"/>
      <c r="G9" s="2"/>
      <c r="H9" s="42">
        <f>G9*I9</f>
        <v>0</v>
      </c>
      <c r="I9" s="136"/>
      <c r="J9" s="42">
        <f t="shared" ref="J9:J20" si="0">D9+H9</f>
        <v>3827119.0001400001</v>
      </c>
      <c r="K9" s="42">
        <f>J9*20%</f>
        <v>765423.80002800003</v>
      </c>
      <c r="L9" s="42">
        <f>J9+K9</f>
        <v>4592542.8001680002</v>
      </c>
    </row>
    <row r="10" spans="1:12" x14ac:dyDescent="0.3">
      <c r="A10" s="2">
        <v>2</v>
      </c>
      <c r="B10" s="2">
        <v>1509752</v>
      </c>
      <c r="C10" s="2">
        <v>1630000</v>
      </c>
      <c r="D10" s="42">
        <f t="shared" ref="D10:D19" si="1">B10*E10</f>
        <v>3424313.8037600005</v>
      </c>
      <c r="E10" s="136">
        <v>2.2681300000000002</v>
      </c>
      <c r="F10" s="42"/>
      <c r="G10" s="2"/>
      <c r="H10" s="42">
        <f t="shared" ref="H10:H20" si="2">G10*I10</f>
        <v>0</v>
      </c>
      <c r="I10" s="136"/>
      <c r="J10" s="42">
        <f t="shared" si="0"/>
        <v>3424313.8037600005</v>
      </c>
      <c r="K10" s="42">
        <f t="shared" ref="K10:K20" si="3">J10*20%</f>
        <v>684862.76075200015</v>
      </c>
      <c r="L10" s="96">
        <f>J10+K10</f>
        <v>4109176.5645120004</v>
      </c>
    </row>
    <row r="11" spans="1:12" x14ac:dyDescent="0.3">
      <c r="A11" s="2">
        <v>3</v>
      </c>
      <c r="B11" s="2">
        <f>1230000+246604</f>
        <v>1476604</v>
      </c>
      <c r="C11" s="2">
        <v>1230000</v>
      </c>
      <c r="D11" s="42">
        <f>C11*E11</f>
        <v>2654573.6999999997</v>
      </c>
      <c r="E11" s="136">
        <v>2.1581899999999998</v>
      </c>
      <c r="F11" s="42"/>
      <c r="G11" s="2">
        <v>246604</v>
      </c>
      <c r="H11" s="42">
        <f t="shared" si="2"/>
        <v>503165.86951999995</v>
      </c>
      <c r="I11" s="136">
        <v>2.0403799999999999</v>
      </c>
      <c r="J11" s="42">
        <f t="shared" si="0"/>
        <v>3157739.5695199994</v>
      </c>
      <c r="K11" s="42">
        <f t="shared" si="3"/>
        <v>631547.91390399996</v>
      </c>
      <c r="L11" s="96">
        <f>J11+K11</f>
        <v>3789287.4834239995</v>
      </c>
    </row>
    <row r="12" spans="1:12" x14ac:dyDescent="0.3">
      <c r="A12" s="2">
        <v>4</v>
      </c>
      <c r="B12" s="2">
        <v>990071</v>
      </c>
      <c r="C12" s="2">
        <v>1150000</v>
      </c>
      <c r="D12" s="42">
        <f t="shared" si="1"/>
        <v>2125870.5504900003</v>
      </c>
      <c r="E12" s="136">
        <v>2.1471900000000002</v>
      </c>
      <c r="F12" s="42"/>
      <c r="G12" s="2"/>
      <c r="H12" s="42">
        <f t="shared" si="2"/>
        <v>0</v>
      </c>
      <c r="I12" s="136"/>
      <c r="J12" s="42">
        <f t="shared" si="0"/>
        <v>2125870.5504900003</v>
      </c>
      <c r="K12" s="42">
        <f t="shared" si="3"/>
        <v>425174.11009800009</v>
      </c>
      <c r="L12" s="96">
        <f>J12+K12</f>
        <v>2551044.6605880004</v>
      </c>
    </row>
    <row r="13" spans="1:12" x14ac:dyDescent="0.3">
      <c r="A13" s="2">
        <v>5</v>
      </c>
      <c r="B13" s="2">
        <f>840000+309904</f>
        <v>1149904</v>
      </c>
      <c r="C13" s="2">
        <v>840000</v>
      </c>
      <c r="D13" s="42">
        <f>C13*E13</f>
        <v>1714087.2</v>
      </c>
      <c r="E13" s="136">
        <v>2.0405799999999998</v>
      </c>
      <c r="F13" s="42"/>
      <c r="G13" s="2">
        <v>309904</v>
      </c>
      <c r="H13" s="42">
        <f t="shared" si="2"/>
        <v>595874.11407999997</v>
      </c>
      <c r="I13" s="136">
        <v>1.9227700000000001</v>
      </c>
      <c r="J13" s="42">
        <f t="shared" si="0"/>
        <v>2309961.3140799999</v>
      </c>
      <c r="K13" s="42">
        <f t="shared" si="3"/>
        <v>461992.26281600003</v>
      </c>
      <c r="L13" s="96">
        <f>J13+K13-0.01</f>
        <v>2771953.5668959999</v>
      </c>
    </row>
    <row r="14" spans="1:12" x14ac:dyDescent="0.3">
      <c r="A14" s="2">
        <v>6</v>
      </c>
      <c r="B14" s="2">
        <v>700246</v>
      </c>
      <c r="C14" s="2">
        <v>550000</v>
      </c>
      <c r="D14" s="42">
        <f>C14*E14</f>
        <v>1033928.5</v>
      </c>
      <c r="E14" s="136">
        <v>1.8798699999999999</v>
      </c>
      <c r="F14" s="42"/>
      <c r="G14" s="2">
        <v>150246</v>
      </c>
      <c r="H14" s="42">
        <f t="shared" si="2"/>
        <v>264742.46675999998</v>
      </c>
      <c r="I14" s="136">
        <v>1.76206</v>
      </c>
      <c r="J14" s="42">
        <f t="shared" si="0"/>
        <v>1298670.96676</v>
      </c>
      <c r="K14" s="42">
        <f t="shared" si="3"/>
        <v>259734.193352</v>
      </c>
      <c r="L14" s="96">
        <f>J14+K14</f>
        <v>1558405.1601120001</v>
      </c>
    </row>
    <row r="15" spans="1:12" x14ac:dyDescent="0.3">
      <c r="A15" s="2">
        <v>7</v>
      </c>
      <c r="B15" s="2">
        <f>C15+G15</f>
        <v>802674</v>
      </c>
      <c r="C15" s="2">
        <v>540000</v>
      </c>
      <c r="D15" s="42">
        <f>C15*E15</f>
        <v>943731</v>
      </c>
      <c r="E15" s="136">
        <v>1.7476499999999999</v>
      </c>
      <c r="F15" s="42"/>
      <c r="G15" s="2">
        <v>262674</v>
      </c>
      <c r="H15" s="42">
        <f t="shared" si="2"/>
        <v>434026.75715999998</v>
      </c>
      <c r="I15" s="136">
        <v>1.6523399999999999</v>
      </c>
      <c r="J15" s="42">
        <f t="shared" si="0"/>
        <v>1377757.75716</v>
      </c>
      <c r="K15" s="42">
        <f t="shared" si="3"/>
        <v>275551.55143200001</v>
      </c>
      <c r="L15" s="96">
        <f>J15+K15</f>
        <v>1653309.308592</v>
      </c>
    </row>
    <row r="16" spans="1:12" x14ac:dyDescent="0.3">
      <c r="A16" s="2">
        <v>8</v>
      </c>
      <c r="B16" s="2">
        <v>623259</v>
      </c>
      <c r="C16" s="2">
        <v>660000</v>
      </c>
      <c r="D16" s="42">
        <f t="shared" si="1"/>
        <v>1051381.8396900001</v>
      </c>
      <c r="E16" s="136">
        <v>1.6869099999999999</v>
      </c>
      <c r="F16" s="42"/>
      <c r="G16" s="2"/>
      <c r="H16" s="42">
        <f t="shared" si="2"/>
        <v>0</v>
      </c>
      <c r="I16" s="136"/>
      <c r="J16" s="42">
        <f t="shared" si="0"/>
        <v>1051381.8396900001</v>
      </c>
      <c r="K16" s="42">
        <f t="shared" si="3"/>
        <v>210276.36793800001</v>
      </c>
      <c r="L16" s="96">
        <f>J16+K16</f>
        <v>1261658.2076280001</v>
      </c>
    </row>
    <row r="17" spans="1:12" x14ac:dyDescent="0.3">
      <c r="A17" s="2">
        <v>9</v>
      </c>
      <c r="B17" s="2">
        <v>623339</v>
      </c>
      <c r="C17" s="2">
        <v>750000</v>
      </c>
      <c r="D17" s="42">
        <f t="shared" si="1"/>
        <v>1066476.9284899998</v>
      </c>
      <c r="E17" s="136">
        <v>1.7109099999999999</v>
      </c>
      <c r="F17" s="42"/>
      <c r="G17" s="2"/>
      <c r="H17" s="42">
        <f t="shared" si="2"/>
        <v>0</v>
      </c>
      <c r="I17" s="136"/>
      <c r="J17" s="42">
        <f t="shared" si="0"/>
        <v>1066476.9284899998</v>
      </c>
      <c r="K17" s="42">
        <f t="shared" si="3"/>
        <v>213295.38569799997</v>
      </c>
      <c r="L17" s="42">
        <f>J17+K17+0.01</f>
        <v>1279772.3241879998</v>
      </c>
    </row>
    <row r="18" spans="1:12" x14ac:dyDescent="0.3">
      <c r="A18" s="2">
        <v>10</v>
      </c>
      <c r="B18" s="2">
        <v>743651</v>
      </c>
      <c r="C18" s="2">
        <v>1030000</v>
      </c>
      <c r="D18" s="42">
        <f t="shared" si="1"/>
        <v>1334615.5766799999</v>
      </c>
      <c r="E18" s="136">
        <v>1.7946800000000001</v>
      </c>
      <c r="F18" s="42"/>
      <c r="G18" s="2"/>
      <c r="H18" s="42">
        <f t="shared" si="2"/>
        <v>0</v>
      </c>
      <c r="I18" s="136"/>
      <c r="J18" s="42">
        <f>B18*E18</f>
        <v>1334615.5766799999</v>
      </c>
      <c r="K18" s="42">
        <f t="shared" si="3"/>
        <v>266923.11533599999</v>
      </c>
      <c r="L18" s="42">
        <f>J18+K18+0.01</f>
        <v>1601538.7020159999</v>
      </c>
    </row>
    <row r="19" spans="1:12" x14ac:dyDescent="0.3">
      <c r="A19" s="2">
        <v>11</v>
      </c>
      <c r="B19" s="2">
        <v>1401515</v>
      </c>
      <c r="C19" s="2">
        <v>1680000</v>
      </c>
      <c r="D19" s="42">
        <f t="shared" si="1"/>
        <v>2792518.6374999997</v>
      </c>
      <c r="E19" s="136">
        <v>1.9924999999999999</v>
      </c>
      <c r="F19" s="42"/>
      <c r="G19" s="2"/>
      <c r="H19" s="42">
        <f t="shared" si="2"/>
        <v>0</v>
      </c>
      <c r="I19" s="136"/>
      <c r="J19" s="42">
        <f t="shared" si="0"/>
        <v>2792518.6374999997</v>
      </c>
      <c r="K19" s="42">
        <f t="shared" si="3"/>
        <v>558503.72749999992</v>
      </c>
      <c r="L19" s="42">
        <f>J19+K19</f>
        <v>3351022.3649999998</v>
      </c>
    </row>
    <row r="20" spans="1:12" x14ac:dyDescent="0.3">
      <c r="A20" s="2">
        <v>12</v>
      </c>
      <c r="B20" s="2">
        <v>2297005</v>
      </c>
      <c r="C20" s="27">
        <v>2220000</v>
      </c>
      <c r="D20" s="42">
        <f>C20*E20</f>
        <v>4497720</v>
      </c>
      <c r="E20" s="137">
        <v>2.0259999999999998</v>
      </c>
      <c r="F20" s="96"/>
      <c r="G20" s="27">
        <v>77005</v>
      </c>
      <c r="H20" s="96">
        <f t="shared" si="2"/>
        <v>148672.78344999999</v>
      </c>
      <c r="I20" s="137">
        <v>1.93069</v>
      </c>
      <c r="J20" s="96">
        <f t="shared" si="0"/>
        <v>4646392.78345</v>
      </c>
      <c r="K20" s="42">
        <f t="shared" si="3"/>
        <v>929278.55669</v>
      </c>
      <c r="L20" s="96">
        <f>J20+K20</f>
        <v>5575671.34014</v>
      </c>
    </row>
    <row r="21" spans="1:12" x14ac:dyDescent="0.3">
      <c r="A21" s="2" t="s">
        <v>87</v>
      </c>
      <c r="B21" s="38">
        <f>SUM(B9:B20)</f>
        <v>13969933</v>
      </c>
      <c r="C21" s="38">
        <f>SUM(C9:C20)</f>
        <v>14030000</v>
      </c>
      <c r="D21" s="129">
        <f>SUM(D9:D20)</f>
        <v>26466336.736749999</v>
      </c>
      <c r="E21" s="136">
        <f>D21/C21</f>
        <v>1.8864103162330719</v>
      </c>
      <c r="F21" s="42"/>
      <c r="G21" s="38">
        <f>SUM(G9:G20)</f>
        <v>1046433</v>
      </c>
      <c r="H21" s="129">
        <f>SUM(H9:H20)</f>
        <v>1946481.9909699999</v>
      </c>
      <c r="I21" s="129"/>
      <c r="J21" s="129">
        <f>SUM(J9:J20)</f>
        <v>28412818.72772</v>
      </c>
      <c r="K21" s="129">
        <f>SUM(K9:K20)</f>
        <v>5682563.7455440005</v>
      </c>
      <c r="L21" s="129">
        <f>SUM(L9:L20)</f>
        <v>34095382.483263999</v>
      </c>
    </row>
    <row r="22" spans="1:12" ht="27.6" customHeight="1" x14ac:dyDescent="0.3">
      <c r="A22" s="237" t="s">
        <v>549</v>
      </c>
      <c r="B22" s="237"/>
      <c r="C22" s="237"/>
      <c r="D22" s="237"/>
      <c r="E22" s="237"/>
      <c r="F22" s="2"/>
      <c r="G22" s="2"/>
      <c r="H22" s="2"/>
      <c r="I22" s="2"/>
      <c r="J22" s="2">
        <v>57800.95</v>
      </c>
      <c r="K22" s="2">
        <v>10404.17</v>
      </c>
      <c r="L22" s="2">
        <v>68205.119999999995</v>
      </c>
    </row>
    <row r="23" spans="1:12" ht="14.4" customHeight="1" x14ac:dyDescent="0.3">
      <c r="A23" s="178"/>
      <c r="B23" s="178" t="s">
        <v>7</v>
      </c>
      <c r="C23" s="178"/>
      <c r="D23" s="178"/>
      <c r="E23" s="178"/>
      <c r="F23" s="2"/>
      <c r="G23" s="2"/>
      <c r="H23" s="2"/>
      <c r="I23" s="2"/>
      <c r="J23" s="129">
        <f>J21+J22</f>
        <v>28470619.677719999</v>
      </c>
      <c r="K23" s="129">
        <f t="shared" ref="K23:L23" si="4">K21+K22</f>
        <v>5692967.9155440005</v>
      </c>
      <c r="L23" s="129">
        <f t="shared" si="4"/>
        <v>34163587.603263997</v>
      </c>
    </row>
    <row r="24" spans="1:12" ht="14.4" customHeight="1" x14ac:dyDescent="0.3">
      <c r="A24" s="185"/>
      <c r="B24" s="185"/>
      <c r="C24" s="185"/>
      <c r="D24" s="185"/>
      <c r="E24" s="185"/>
    </row>
    <row r="25" spans="1:12" ht="14.4" customHeight="1" x14ac:dyDescent="0.3">
      <c r="A25" s="185"/>
      <c r="B25" s="185"/>
      <c r="C25" s="185"/>
      <c r="D25" s="185"/>
      <c r="E25" s="185"/>
    </row>
    <row r="26" spans="1:12" x14ac:dyDescent="0.3">
      <c r="A26" t="s">
        <v>0</v>
      </c>
      <c r="D26" t="s">
        <v>227</v>
      </c>
    </row>
  </sheetData>
  <mergeCells count="3">
    <mergeCell ref="A2:F2"/>
    <mergeCell ref="A3:F3"/>
    <mergeCell ref="A22:E2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J26"/>
  <sheetViews>
    <sheetView topLeftCell="A4" workbookViewId="0">
      <selection activeCell="A19" sqref="A19:B19"/>
    </sheetView>
  </sheetViews>
  <sheetFormatPr defaultRowHeight="14.4" x14ac:dyDescent="0.3"/>
  <cols>
    <col min="1" max="1" width="6.6640625" customWidth="1"/>
    <col min="2" max="2" width="12.88671875" customWidth="1"/>
    <col min="3" max="3" width="13.109375" customWidth="1"/>
    <col min="4" max="4" width="7.21875" customWidth="1"/>
    <col min="5" max="5" width="11.21875" customWidth="1"/>
    <col min="6" max="6" width="12" customWidth="1"/>
    <col min="7" max="7" width="10.44140625" customWidth="1"/>
    <col min="8" max="8" width="11.5546875" customWidth="1"/>
    <col min="9" max="9" width="13.21875" customWidth="1"/>
    <col min="10" max="10" width="12.77734375" customWidth="1"/>
    <col min="12" max="12" width="13.44140625" customWidth="1"/>
    <col min="14" max="14" width="11.21875" bestFit="1" customWidth="1"/>
  </cols>
  <sheetData>
    <row r="2" spans="1:10" ht="18" x14ac:dyDescent="0.35">
      <c r="A2" s="71" t="s">
        <v>449</v>
      </c>
    </row>
    <row r="3" spans="1:10" ht="18" x14ac:dyDescent="0.35">
      <c r="A3" s="71" t="s">
        <v>450</v>
      </c>
      <c r="E3" s="71" t="s">
        <v>519</v>
      </c>
      <c r="H3" t="s">
        <v>101</v>
      </c>
    </row>
    <row r="4" spans="1:10" x14ac:dyDescent="0.3">
      <c r="A4" s="2"/>
      <c r="B4" s="234" t="s">
        <v>418</v>
      </c>
      <c r="C4" s="235"/>
      <c r="D4" s="236" t="s">
        <v>170</v>
      </c>
      <c r="E4" s="236"/>
      <c r="F4" s="236"/>
      <c r="G4" s="236"/>
      <c r="H4" s="236"/>
      <c r="I4" s="236" t="s">
        <v>451</v>
      </c>
      <c r="J4" s="236" t="s">
        <v>452</v>
      </c>
    </row>
    <row r="5" spans="1:10" ht="43.2" x14ac:dyDescent="0.3">
      <c r="A5" s="2" t="s">
        <v>419</v>
      </c>
      <c r="B5" s="2" t="s">
        <v>420</v>
      </c>
      <c r="C5" s="2" t="s">
        <v>416</v>
      </c>
      <c r="D5" s="41" t="s">
        <v>421</v>
      </c>
      <c r="E5" s="41" t="s">
        <v>422</v>
      </c>
      <c r="F5" s="41" t="s">
        <v>423</v>
      </c>
      <c r="G5" s="41" t="s">
        <v>424</v>
      </c>
      <c r="H5" s="41" t="s">
        <v>425</v>
      </c>
      <c r="I5" s="236"/>
      <c r="J5" s="236"/>
    </row>
    <row r="6" spans="1:10" x14ac:dyDescent="0.3">
      <c r="A6" s="2">
        <v>1</v>
      </c>
      <c r="B6" s="2">
        <v>9716588</v>
      </c>
      <c r="C6" s="42">
        <v>9267126.7200000007</v>
      </c>
      <c r="D6" s="2">
        <v>15.79</v>
      </c>
      <c r="E6" s="2">
        <v>406566.22</v>
      </c>
      <c r="F6" s="42">
        <f t="shared" ref="F6:F11" si="0">D6*E6</f>
        <v>6419680.6137999995</v>
      </c>
      <c r="G6" s="2">
        <v>293.05</v>
      </c>
      <c r="H6" s="42">
        <f t="shared" ref="H6:H17" si="1">B6*G6/1000</f>
        <v>2847446.1134000001</v>
      </c>
      <c r="I6" s="42">
        <f>F6+H6-0.01</f>
        <v>9267126.7171999998</v>
      </c>
      <c r="J6" s="2">
        <f>I6*1.2</f>
        <v>11120552.06064</v>
      </c>
    </row>
    <row r="7" spans="1:10" x14ac:dyDescent="0.3">
      <c r="A7" s="2">
        <v>2</v>
      </c>
      <c r="B7" s="2">
        <v>8646979</v>
      </c>
      <c r="C7" s="2">
        <v>8953677.8100000005</v>
      </c>
      <c r="D7" s="2">
        <v>15.79</v>
      </c>
      <c r="E7" s="2">
        <v>406566.22</v>
      </c>
      <c r="F7" s="42">
        <f t="shared" si="0"/>
        <v>6419680.6137999995</v>
      </c>
      <c r="G7" s="2">
        <v>293.05</v>
      </c>
      <c r="H7" s="2">
        <f t="shared" si="1"/>
        <v>2533997.1959500001</v>
      </c>
      <c r="I7" s="42">
        <f t="shared" ref="I7:I17" si="2">F7+H7</f>
        <v>8953677.80975</v>
      </c>
      <c r="J7" s="2">
        <f t="shared" ref="J7:J17" si="3">I7*1.2</f>
        <v>10744413.3717</v>
      </c>
    </row>
    <row r="8" spans="1:10" x14ac:dyDescent="0.3">
      <c r="A8" s="2">
        <v>3</v>
      </c>
      <c r="B8" s="2">
        <v>8309752</v>
      </c>
      <c r="C8" s="42">
        <v>8854853.4299999997</v>
      </c>
      <c r="D8" s="2">
        <v>15.79</v>
      </c>
      <c r="E8" s="2">
        <v>406566.22</v>
      </c>
      <c r="F8" s="42">
        <f t="shared" si="0"/>
        <v>6419680.6137999995</v>
      </c>
      <c r="G8" s="2">
        <v>293.05</v>
      </c>
      <c r="H8" s="2">
        <f t="shared" si="1"/>
        <v>2435172.8235999998</v>
      </c>
      <c r="I8" s="42">
        <f>F8+H8-0.01</f>
        <v>8854853.4273999985</v>
      </c>
      <c r="J8" s="2">
        <f>I8*1.2+0.01</f>
        <v>10625824.122879997</v>
      </c>
    </row>
    <row r="9" spans="1:10" x14ac:dyDescent="0.3">
      <c r="A9" s="2">
        <v>4</v>
      </c>
      <c r="B9" s="2">
        <v>7566657</v>
      </c>
      <c r="C9" s="42">
        <v>8637089.4399999995</v>
      </c>
      <c r="D9" s="2">
        <v>15.79</v>
      </c>
      <c r="E9" s="2">
        <v>406566.22</v>
      </c>
      <c r="F9" s="42">
        <f t="shared" si="0"/>
        <v>6419680.6137999995</v>
      </c>
      <c r="G9" s="2">
        <v>293.05</v>
      </c>
      <c r="H9" s="2">
        <f t="shared" si="1"/>
        <v>2217408.8338500001</v>
      </c>
      <c r="I9" s="42">
        <f>F9+H9-0.01</f>
        <v>8637089.4376500007</v>
      </c>
      <c r="J9" s="2">
        <f t="shared" si="3"/>
        <v>10364507.32518</v>
      </c>
    </row>
    <row r="10" spans="1:10" x14ac:dyDescent="0.3">
      <c r="A10" s="2">
        <v>5</v>
      </c>
      <c r="B10" s="2">
        <v>6905592</v>
      </c>
      <c r="C10" s="42">
        <v>8443364.3499999996</v>
      </c>
      <c r="D10" s="2">
        <v>15.79</v>
      </c>
      <c r="E10" s="2">
        <v>406566.22</v>
      </c>
      <c r="F10" s="42">
        <f t="shared" si="0"/>
        <v>6419680.6137999995</v>
      </c>
      <c r="G10" s="2">
        <v>293.05</v>
      </c>
      <c r="H10" s="2">
        <f t="shared" si="1"/>
        <v>2023683.7356000002</v>
      </c>
      <c r="I10" s="42">
        <f t="shared" si="2"/>
        <v>8443364.3493999988</v>
      </c>
      <c r="J10" s="2">
        <f t="shared" si="3"/>
        <v>10132037.219279999</v>
      </c>
    </row>
    <row r="11" spans="1:10" x14ac:dyDescent="0.3">
      <c r="A11" s="165">
        <v>6</v>
      </c>
      <c r="B11" s="27">
        <v>6991229</v>
      </c>
      <c r="C11" s="96">
        <v>8468460.2699999996</v>
      </c>
      <c r="D11" s="2">
        <v>15.79</v>
      </c>
      <c r="E11" s="2">
        <v>406566.22</v>
      </c>
      <c r="F11" s="96">
        <f t="shared" si="0"/>
        <v>6419680.6137999995</v>
      </c>
      <c r="G11" s="2">
        <v>293.05</v>
      </c>
      <c r="H11" s="27">
        <f t="shared" si="1"/>
        <v>2048779.65845</v>
      </c>
      <c r="I11" s="96">
        <f t="shared" si="2"/>
        <v>8468460.2722500004</v>
      </c>
      <c r="J11" s="2">
        <f>I11*1.2-0.01</f>
        <v>10162152.3167</v>
      </c>
    </row>
    <row r="12" spans="1:10" x14ac:dyDescent="0.3">
      <c r="A12" s="27">
        <v>7</v>
      </c>
      <c r="B12" s="27">
        <v>6081429</v>
      </c>
      <c r="C12" s="96">
        <v>9573566.6500000004</v>
      </c>
      <c r="D12" s="27">
        <v>14.94</v>
      </c>
      <c r="E12" s="27">
        <v>522892.9</v>
      </c>
      <c r="F12" s="96">
        <f t="shared" ref="F12:F17" si="4">D12*E12</f>
        <v>7812019.926</v>
      </c>
      <c r="G12" s="27">
        <v>289.66000000000003</v>
      </c>
      <c r="H12" s="27">
        <f t="shared" si="1"/>
        <v>1761546.7241400001</v>
      </c>
      <c r="I12" s="96">
        <f t="shared" si="2"/>
        <v>9573566.6501400005</v>
      </c>
      <c r="J12" s="2">
        <f t="shared" si="3"/>
        <v>11488279.980168</v>
      </c>
    </row>
    <row r="13" spans="1:10" x14ac:dyDescent="0.3">
      <c r="A13" s="27">
        <v>8</v>
      </c>
      <c r="B13" s="27">
        <v>6220389</v>
      </c>
      <c r="C13" s="96">
        <v>9613817.8100000005</v>
      </c>
      <c r="D13" s="27">
        <v>14.94</v>
      </c>
      <c r="E13" s="27">
        <v>522892.9</v>
      </c>
      <c r="F13" s="96">
        <f t="shared" si="4"/>
        <v>7812019.926</v>
      </c>
      <c r="G13" s="27">
        <v>289.66000000000003</v>
      </c>
      <c r="H13" s="27">
        <f t="shared" si="1"/>
        <v>1801797.8777400001</v>
      </c>
      <c r="I13" s="96">
        <f t="shared" si="2"/>
        <v>9613817.8037400004</v>
      </c>
      <c r="J13" s="2">
        <f>I13*1.2+0.01</f>
        <v>11536581.374488</v>
      </c>
    </row>
    <row r="14" spans="1:10" x14ac:dyDescent="0.3">
      <c r="A14" s="2">
        <v>9</v>
      </c>
      <c r="B14" s="2">
        <v>6456824</v>
      </c>
      <c r="C14" s="42">
        <v>9682303.5700000003</v>
      </c>
      <c r="D14" s="27">
        <v>14.94</v>
      </c>
      <c r="E14" s="27">
        <v>522892.9</v>
      </c>
      <c r="F14" s="42">
        <f t="shared" si="4"/>
        <v>7812019.926</v>
      </c>
      <c r="G14" s="27">
        <v>289.66000000000003</v>
      </c>
      <c r="H14" s="2">
        <f t="shared" si="1"/>
        <v>1870283.6398400001</v>
      </c>
      <c r="I14" s="42">
        <f t="shared" si="2"/>
        <v>9682303.5658400003</v>
      </c>
      <c r="J14" s="2">
        <f t="shared" si="3"/>
        <v>11618764.279007999</v>
      </c>
    </row>
    <row r="15" spans="1:10" x14ac:dyDescent="0.3">
      <c r="A15" s="132">
        <v>10</v>
      </c>
      <c r="B15" s="2">
        <v>7643677</v>
      </c>
      <c r="C15" s="2">
        <v>10026087.41</v>
      </c>
      <c r="D15" s="27">
        <v>14.94</v>
      </c>
      <c r="E15" s="27">
        <v>522892.9</v>
      </c>
      <c r="F15" s="42">
        <f t="shared" si="4"/>
        <v>7812019.926</v>
      </c>
      <c r="G15" s="27">
        <v>289.66000000000003</v>
      </c>
      <c r="H15" s="2">
        <f t="shared" si="1"/>
        <v>2214067.47982</v>
      </c>
      <c r="I15" s="42">
        <f t="shared" si="2"/>
        <v>10026087.405820001</v>
      </c>
      <c r="J15" s="2">
        <f t="shared" si="3"/>
        <v>12031304.886984</v>
      </c>
    </row>
    <row r="16" spans="1:10" x14ac:dyDescent="0.3">
      <c r="A16" s="132">
        <v>11</v>
      </c>
      <c r="B16" s="2">
        <v>8226389</v>
      </c>
      <c r="C16" s="2">
        <v>10194875.77</v>
      </c>
      <c r="D16" s="27">
        <v>14.94</v>
      </c>
      <c r="E16" s="27">
        <v>522892.9</v>
      </c>
      <c r="F16" s="42">
        <f t="shared" si="4"/>
        <v>7812019.926</v>
      </c>
      <c r="G16" s="27">
        <v>289.66000000000003</v>
      </c>
      <c r="H16" s="2">
        <f t="shared" si="1"/>
        <v>2382855.8377400003</v>
      </c>
      <c r="I16" s="42">
        <f>F16+H16</f>
        <v>10194875.763739999</v>
      </c>
      <c r="J16" s="2">
        <f t="shared" si="3"/>
        <v>12233850.916487999</v>
      </c>
    </row>
    <row r="17" spans="1:10" x14ac:dyDescent="0.3">
      <c r="A17" s="132">
        <v>12</v>
      </c>
      <c r="B17" s="27">
        <v>9532643</v>
      </c>
      <c r="C17" s="96">
        <v>10573245.300000001</v>
      </c>
      <c r="D17" s="27">
        <v>14.94</v>
      </c>
      <c r="E17" s="27">
        <v>522892.9</v>
      </c>
      <c r="F17" s="42">
        <f t="shared" si="4"/>
        <v>7812019.926</v>
      </c>
      <c r="G17" s="27">
        <v>289.66000000000003</v>
      </c>
      <c r="H17" s="2">
        <f t="shared" si="1"/>
        <v>2761225.3713799999</v>
      </c>
      <c r="I17" s="42">
        <f t="shared" si="2"/>
        <v>10573245.29738</v>
      </c>
      <c r="J17" s="2">
        <f t="shared" si="3"/>
        <v>12687894.356856</v>
      </c>
    </row>
    <row r="18" spans="1:10" ht="21" customHeight="1" x14ac:dyDescent="0.3">
      <c r="A18" s="38" t="s">
        <v>265</v>
      </c>
      <c r="B18" s="38">
        <f>SUM(B6:B17)</f>
        <v>92298148</v>
      </c>
      <c r="C18" s="129">
        <f>SUM(C6:C17)</f>
        <v>112288468.52999997</v>
      </c>
      <c r="D18" s="2"/>
      <c r="E18" s="2"/>
      <c r="F18" s="129">
        <f>SUM(F6:F17)</f>
        <v>85390203.238799989</v>
      </c>
      <c r="G18" s="2"/>
      <c r="H18" s="129">
        <f>SUM(H6:H17)</f>
        <v>26898265.291510005</v>
      </c>
      <c r="I18" s="129">
        <f>SUM(I6:I17)</f>
        <v>112288468.50031</v>
      </c>
      <c r="J18" s="129">
        <f>SUM(J6:J17)</f>
        <v>134746162.21037197</v>
      </c>
    </row>
    <row r="19" spans="1:10" ht="54" customHeight="1" x14ac:dyDescent="0.3">
      <c r="A19" s="239" t="s">
        <v>549</v>
      </c>
      <c r="B19" s="239"/>
      <c r="C19" s="129">
        <v>-7558.04</v>
      </c>
      <c r="D19" s="2"/>
      <c r="E19" s="2"/>
      <c r="F19" s="38"/>
      <c r="G19" s="2"/>
      <c r="H19" s="38">
        <v>-7558.04</v>
      </c>
      <c r="I19" s="42"/>
      <c r="J19" s="38">
        <v>-8918.48</v>
      </c>
    </row>
    <row r="20" spans="1:10" x14ac:dyDescent="0.3">
      <c r="A20" s="2" t="s">
        <v>7</v>
      </c>
      <c r="B20" s="38"/>
      <c r="C20" s="129">
        <f>C18+C19</f>
        <v>112280910.48999996</v>
      </c>
      <c r="D20" s="2"/>
      <c r="E20" s="2"/>
      <c r="F20" s="38"/>
      <c r="G20" s="2"/>
      <c r="H20" s="129">
        <f>H18+H19</f>
        <v>26890707.251510005</v>
      </c>
      <c r="I20" s="42"/>
      <c r="J20" s="129">
        <f>J18+J19</f>
        <v>134737243.73037198</v>
      </c>
    </row>
    <row r="21" spans="1:10" x14ac:dyDescent="0.3">
      <c r="A21" s="1"/>
      <c r="B21" s="167"/>
      <c r="C21" s="131"/>
      <c r="D21" s="1"/>
      <c r="E21" s="1"/>
      <c r="F21" s="167"/>
      <c r="G21" s="1"/>
      <c r="H21" s="167"/>
      <c r="I21" s="130"/>
    </row>
    <row r="22" spans="1:10" x14ac:dyDescent="0.3">
      <c r="A22" s="1"/>
      <c r="B22" s="167"/>
      <c r="C22" s="131"/>
      <c r="D22" s="1"/>
      <c r="E22" s="1"/>
      <c r="F22" s="167"/>
      <c r="G22" s="1"/>
      <c r="H22" s="167"/>
      <c r="I22" s="130"/>
    </row>
    <row r="23" spans="1:10" x14ac:dyDescent="0.3">
      <c r="A23" s="1"/>
      <c r="B23" s="167" t="s">
        <v>0</v>
      </c>
      <c r="C23" s="167"/>
      <c r="D23" s="1"/>
      <c r="E23" s="1"/>
      <c r="F23" s="167" t="s">
        <v>227</v>
      </c>
      <c r="G23" s="1"/>
      <c r="H23" s="167"/>
      <c r="I23" s="130"/>
    </row>
    <row r="26" spans="1:10" x14ac:dyDescent="0.3">
      <c r="C26" t="s">
        <v>131</v>
      </c>
    </row>
  </sheetData>
  <mergeCells count="5">
    <mergeCell ref="B4:C4"/>
    <mergeCell ref="D4:H4"/>
    <mergeCell ref="I4:I5"/>
    <mergeCell ref="J4:J5"/>
    <mergeCell ref="A19:B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НВВ 2021</vt:lpstr>
      <vt:lpstr>2.2</vt:lpstr>
      <vt:lpstr>2.1</vt:lpstr>
      <vt:lpstr>ЗП</vt:lpstr>
      <vt:lpstr>янтарь</vt:lpstr>
      <vt:lpstr>мэс-план</vt:lpstr>
      <vt:lpstr>МЭС- факт</vt:lpstr>
      <vt:lpstr>ДЭК</vt:lpstr>
      <vt:lpstr>ДРСК</vt:lpstr>
      <vt:lpstr>Смета расходов по годам</vt:lpstr>
      <vt:lpstr>план-факт 2019</vt:lpstr>
      <vt:lpstr>Отчет по НВВ </vt:lpstr>
      <vt:lpstr>детализация</vt:lpstr>
      <vt:lpstr>за счет амморт.</vt:lpstr>
      <vt:lpstr>кап.вложения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2020-04-22T01:58:08Z</dcterms:modified>
</cp:coreProperties>
</file>